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E:\pesaro\new ENTI PUBBLICI\CLIENTI EEPP\A Enti Pubblici ed Enti Locali\Comune di Urbino\Gara polizze\2017 DICEMBRE\docu definitiva per determina\"/>
    </mc:Choice>
  </mc:AlternateContent>
  <bookViews>
    <workbookView xWindow="0" yWindow="465" windowWidth="25605" windowHeight="14685" activeTab="3"/>
  </bookViews>
  <sheets>
    <sheet name="rct_o" sheetId="1" r:id="rId1"/>
    <sheet name="PVT" sheetId="4" r:id="rId2"/>
    <sheet name="RCP" sheetId="9" r:id="rId3"/>
    <sheet name="TUTELA LEGALE" sheetId="10" r:id="rId4"/>
    <sheet name="all risks" sheetId="7" r:id="rId5"/>
    <sheet name="infortuni" sheetId="8" r:id="rId6"/>
    <sheet name="rca" sheetId="5" r:id="rId7"/>
    <sheet name="cvt" sheetId="6" r:id="rId8"/>
  </sheets>
  <definedNames>
    <definedName name="_xlnm._FilterDatabase" localSheetId="0" hidden="1">rct_o!$A$4:$M$77</definedName>
  </definedNames>
  <calcPr calcId="152511" concurrentCalc="0"/>
  <pivotCaches>
    <pivotCache cacheId="0" r:id="rId9"/>
  </pivotCaches>
  <extLst>
    <ext xmlns:mx="http://schemas.microsoft.com/office/mac/excel/2008/main" uri="{7523E5D3-25F3-A5E0-1632-64F254C22452}">
      <mx:ArchID Flags="2"/>
    </ext>
  </extLst>
</workbook>
</file>

<file path=xl/calcChain.xml><?xml version="1.0" encoding="utf-8"?>
<calcChain xmlns="http://schemas.openxmlformats.org/spreadsheetml/2006/main">
  <c r="H36" i="4" l="1"/>
  <c r="I36" i="4"/>
  <c r="I35" i="4"/>
  <c r="I34" i="4"/>
  <c r="I33" i="4"/>
  <c r="I32" i="4"/>
  <c r="I31" i="4"/>
  <c r="I30" i="4"/>
  <c r="I29" i="4"/>
  <c r="I28" i="4"/>
  <c r="I27" i="4"/>
  <c r="I26" i="4"/>
  <c r="I25" i="4"/>
  <c r="I24" i="4"/>
  <c r="I23" i="4"/>
  <c r="I22" i="4"/>
  <c r="I20" i="4"/>
  <c r="I19" i="4"/>
  <c r="I18" i="4"/>
  <c r="I17" i="4"/>
  <c r="I16" i="4"/>
  <c r="I15" i="4"/>
  <c r="I12" i="4"/>
  <c r="I11" i="4"/>
  <c r="I10" i="4"/>
  <c r="I9" i="4"/>
  <c r="I8" i="4"/>
  <c r="I7" i="4"/>
  <c r="I14" i="4"/>
  <c r="I6" i="4"/>
  <c r="I37" i="4"/>
  <c r="I38" i="4"/>
  <c r="H37" i="4"/>
  <c r="H38" i="4"/>
  <c r="G37" i="4"/>
  <c r="G38" i="4"/>
  <c r="F37" i="4"/>
  <c r="F38" i="4"/>
  <c r="E37" i="4"/>
  <c r="E38" i="4"/>
  <c r="D37" i="4"/>
  <c r="D38" i="4"/>
  <c r="C37" i="4"/>
  <c r="C38" i="4"/>
  <c r="B37" i="4"/>
  <c r="B38" i="4"/>
  <c r="G36" i="4"/>
  <c r="F36" i="4"/>
  <c r="E36" i="4"/>
  <c r="D36" i="4"/>
  <c r="C36" i="4"/>
  <c r="B36" i="4"/>
  <c r="I6" i="1"/>
  <c r="K6" i="1"/>
  <c r="I7" i="1"/>
  <c r="K7" i="1"/>
  <c r="I8" i="1"/>
  <c r="K8" i="1"/>
  <c r="I9" i="1"/>
  <c r="K9" i="1"/>
  <c r="I10" i="1"/>
  <c r="K10" i="1"/>
  <c r="I11" i="1"/>
  <c r="K11" i="1"/>
  <c r="I12" i="1"/>
  <c r="K12" i="1"/>
  <c r="I13" i="1"/>
  <c r="K13" i="1"/>
  <c r="I14" i="1"/>
  <c r="K14" i="1"/>
  <c r="I15" i="1"/>
  <c r="K15" i="1"/>
  <c r="I16" i="1"/>
  <c r="K16" i="1"/>
  <c r="I17" i="1"/>
  <c r="K17" i="1"/>
  <c r="I18" i="1"/>
  <c r="K18" i="1"/>
  <c r="I19" i="1"/>
  <c r="K19" i="1"/>
  <c r="I20" i="1"/>
  <c r="K20" i="1"/>
  <c r="I21" i="1"/>
  <c r="K21" i="1"/>
  <c r="I22" i="1"/>
  <c r="K22" i="1"/>
  <c r="I23" i="1"/>
  <c r="K23" i="1"/>
  <c r="I24" i="1"/>
  <c r="K24" i="1"/>
  <c r="I25" i="1"/>
  <c r="K25" i="1"/>
  <c r="I26" i="1"/>
  <c r="K26" i="1"/>
  <c r="I27" i="1"/>
  <c r="K27" i="1"/>
  <c r="I28" i="1"/>
  <c r="K28" i="1"/>
  <c r="I29" i="1"/>
  <c r="K29" i="1"/>
  <c r="I30" i="1"/>
  <c r="K30" i="1"/>
  <c r="I31" i="1"/>
  <c r="K31" i="1"/>
  <c r="I32" i="1"/>
  <c r="K32" i="1"/>
  <c r="I33" i="1"/>
  <c r="K33" i="1"/>
  <c r="I34" i="1"/>
  <c r="K34" i="1"/>
  <c r="I35" i="1"/>
  <c r="K35" i="1"/>
  <c r="I36" i="1"/>
  <c r="K36" i="1"/>
  <c r="I37" i="1"/>
  <c r="K37" i="1"/>
  <c r="I38" i="1"/>
  <c r="K38" i="1"/>
  <c r="I39" i="1"/>
  <c r="K39" i="1"/>
  <c r="I40" i="1"/>
  <c r="K40" i="1"/>
  <c r="I41" i="1"/>
  <c r="K41" i="1"/>
  <c r="I42" i="1"/>
  <c r="K42" i="1"/>
  <c r="I43" i="1"/>
  <c r="K43" i="1"/>
  <c r="I44" i="1"/>
  <c r="K44" i="1"/>
  <c r="I45" i="1"/>
  <c r="K45" i="1"/>
  <c r="I46" i="1"/>
  <c r="K46" i="1"/>
  <c r="I47" i="1"/>
  <c r="K47" i="1"/>
  <c r="I48" i="1"/>
  <c r="K48" i="1"/>
  <c r="I49" i="1"/>
  <c r="K49" i="1"/>
  <c r="I50" i="1"/>
  <c r="K50" i="1"/>
  <c r="I51" i="1"/>
  <c r="K51" i="1"/>
  <c r="I52" i="1"/>
  <c r="K52" i="1"/>
  <c r="I53" i="1"/>
  <c r="K53" i="1"/>
  <c r="I54" i="1"/>
  <c r="K54" i="1"/>
  <c r="I55" i="1"/>
  <c r="K55" i="1"/>
  <c r="I56" i="1"/>
  <c r="K56" i="1"/>
  <c r="I57" i="1"/>
  <c r="K57" i="1"/>
  <c r="I58" i="1"/>
  <c r="K58" i="1"/>
  <c r="I59" i="1"/>
  <c r="K59" i="1"/>
  <c r="I60" i="1"/>
  <c r="K60" i="1"/>
  <c r="I61" i="1"/>
  <c r="K61" i="1"/>
  <c r="I62" i="1"/>
  <c r="K62" i="1"/>
  <c r="I63" i="1"/>
  <c r="K63" i="1"/>
  <c r="I64" i="1"/>
  <c r="K64" i="1"/>
  <c r="I65" i="1"/>
  <c r="K65" i="1"/>
  <c r="I66" i="1"/>
  <c r="K66" i="1"/>
  <c r="I67" i="1"/>
  <c r="K67" i="1"/>
  <c r="I68" i="1"/>
  <c r="K68" i="1"/>
  <c r="I69" i="1"/>
  <c r="K69" i="1"/>
  <c r="I70" i="1"/>
  <c r="K70" i="1"/>
  <c r="I71" i="1"/>
  <c r="K71" i="1"/>
  <c r="I72" i="1"/>
  <c r="K72" i="1"/>
  <c r="I73" i="1"/>
  <c r="K73" i="1"/>
  <c r="I74" i="1"/>
  <c r="K74" i="1"/>
  <c r="I75" i="1"/>
  <c r="K75" i="1"/>
  <c r="I76" i="1"/>
  <c r="K76" i="1"/>
  <c r="I77" i="1"/>
  <c r="K77" i="1"/>
  <c r="I5" i="1"/>
  <c r="K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5" i="1"/>
  <c r="E71" i="1"/>
  <c r="E72" i="1"/>
  <c r="E73" i="1"/>
  <c r="E74" i="1"/>
  <c r="E75" i="1"/>
  <c r="E76" i="1"/>
  <c r="E77" i="1"/>
  <c r="E3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15" i="1"/>
  <c r="E13" i="1"/>
  <c r="E10" i="1"/>
  <c r="E39" i="1"/>
  <c r="E12" i="1"/>
  <c r="E24" i="1"/>
  <c r="E23" i="1"/>
  <c r="E14" i="1"/>
  <c r="E30" i="1"/>
  <c r="E35" i="1"/>
  <c r="E40" i="1"/>
  <c r="E38" i="1"/>
  <c r="E31" i="1"/>
  <c r="E28" i="1"/>
  <c r="E41" i="1"/>
  <c r="E18" i="1"/>
  <c r="E16" i="1"/>
  <c r="E17" i="1"/>
  <c r="E27" i="1"/>
  <c r="E25" i="1"/>
  <c r="E20" i="1"/>
  <c r="E8" i="1"/>
  <c r="E6" i="1"/>
  <c r="E34" i="1"/>
  <c r="E11" i="1"/>
  <c r="E26" i="1"/>
  <c r="E9" i="1"/>
  <c r="E33" i="1"/>
  <c r="E21" i="1"/>
  <c r="E19" i="1"/>
  <c r="E7" i="1"/>
  <c r="E22" i="1"/>
  <c r="E29" i="1"/>
  <c r="E36" i="1"/>
  <c r="E37" i="1"/>
  <c r="E42" i="1"/>
  <c r="E5" i="1"/>
</calcChain>
</file>

<file path=xl/sharedStrings.xml><?xml version="1.0" encoding="utf-8"?>
<sst xmlns="http://schemas.openxmlformats.org/spreadsheetml/2006/main" count="334" uniqueCount="113">
  <si>
    <t>Numero Sx</t>
  </si>
  <si>
    <t>Data Accadimento</t>
  </si>
  <si>
    <t>Stato</t>
  </si>
  <si>
    <t>PAGATO</t>
  </si>
  <si>
    <t>RISERVA</t>
  </si>
  <si>
    <t>Compagnia</t>
  </si>
  <si>
    <t>LESIONI PER OMESSA MANUTENZIONE VERDE</t>
  </si>
  <si>
    <t>LESIONI PER OMESSA MANUTENZIONE STRADA</t>
  </si>
  <si>
    <t>DANNI MATERIALI PER OMESSA MANUTENZIONE VERDE</t>
  </si>
  <si>
    <t>DANNI AL MEZZO PER OMESSA MANUTENZIONE VERDE PUBBLICO</t>
  </si>
  <si>
    <t>INFORTUNIO MINORE PRESSO ISTITUTO STATALE "PASCOLI"</t>
  </si>
  <si>
    <t>DANNI ALL'IMMOBILE CONSEGUENTI A ROTTURA CONDOTTA IDRICA</t>
  </si>
  <si>
    <t>DANNI AL MEZZO PER OMESSA MANUTENZIONE VERDE</t>
  </si>
  <si>
    <t>DANNI ALLA PROPRIETA' PER INFILTRAZIONI DA IMMOBILE DI PROPRIETA' COMUNALE</t>
  </si>
  <si>
    <t>DANNI A CAPPELLA FUNERARIA PER OMESSA MANUTENZIONE CIMITERO COMUNALE</t>
  </si>
  <si>
    <t>DANNI AL MEZZO PER OMESSA MANUTENZIONE STRADA</t>
  </si>
  <si>
    <t>LESIONI PER OMESSA MANUTENZIONE IMMOBILE</t>
  </si>
  <si>
    <t>LESIONI PER OMESSA MANTUENZIONE STRADA (GRADINI CHIESA SAN MICHELE)</t>
  </si>
  <si>
    <t>DANNI AL MEZZO EPR OMESSA MANUTENZIONE VERDE</t>
  </si>
  <si>
    <t>DANNI PER MANCATA REGIMENTAZIONE ACQUE</t>
  </si>
  <si>
    <t>DANNI AL MEZZO EPR OMESSA MANUTENZIONE STRADA</t>
  </si>
  <si>
    <t>AIG</t>
  </si>
  <si>
    <t>Ariscom</t>
  </si>
  <si>
    <t xml:space="preserve"> </t>
  </si>
  <si>
    <t>Anno</t>
  </si>
  <si>
    <t>VALORE SX</t>
  </si>
  <si>
    <t>SS</t>
  </si>
  <si>
    <t>RISERVATO</t>
  </si>
  <si>
    <t>LIQUIDATO</t>
  </si>
  <si>
    <t>Anno polizza</t>
  </si>
  <si>
    <t>Costo SIR</t>
  </si>
  <si>
    <t>Franchigia</t>
  </si>
  <si>
    <t>Costo Cliente</t>
  </si>
  <si>
    <t>Costo Assicuratore</t>
  </si>
  <si>
    <t>Ritenzione</t>
  </si>
  <si>
    <t>SIR si/no</t>
  </si>
  <si>
    <t>No</t>
  </si>
  <si>
    <t>Numero Eventi</t>
  </si>
  <si>
    <t>Numero Eventi totale</t>
  </si>
  <si>
    <t>Importi Liquidati</t>
  </si>
  <si>
    <t>Importi Liquidati totale</t>
  </si>
  <si>
    <t>Importi Riservati</t>
  </si>
  <si>
    <t>Importi Riservati totale</t>
  </si>
  <si>
    <t>Valore sinistro</t>
  </si>
  <si>
    <t>Valore sinistro totale</t>
  </si>
  <si>
    <t>Franchigia totale</t>
  </si>
  <si>
    <t>Residuo Assicuratore</t>
  </si>
  <si>
    <t>Residuo Assicuratore totale</t>
  </si>
  <si>
    <t>Costo Totale del Rischio</t>
  </si>
  <si>
    <t>Anno di Polizza</t>
  </si>
  <si>
    <t>Costi gestionali (SIR)</t>
  </si>
  <si>
    <t>Costi gestionali (SIR) totale</t>
  </si>
  <si>
    <t>Media</t>
  </si>
  <si>
    <t>Totale</t>
  </si>
  <si>
    <t>Premio Minimo Incomprimibile</t>
  </si>
  <si>
    <t>Premio Probabile</t>
  </si>
  <si>
    <t>Coefficiente</t>
  </si>
  <si>
    <t>Anno Sinistro</t>
  </si>
  <si>
    <t>Numero Sinistro</t>
  </si>
  <si>
    <t>Tipo Sinistro</t>
  </si>
  <si>
    <t>Numero polizza</t>
  </si>
  <si>
    <t>Riferimento Compagnia</t>
  </si>
  <si>
    <t>Tipo Definizione</t>
  </si>
  <si>
    <t>Importo Liquidato Euro</t>
  </si>
  <si>
    <t>Importo Riserva Euro</t>
  </si>
  <si>
    <t>Note Definizione</t>
  </si>
  <si>
    <t>Luogo Accadimento</t>
  </si>
  <si>
    <t>Periodo di osservazione dal 30/06/12 al 31/07/17</t>
  </si>
  <si>
    <t>R.C.A. Danni a cose</t>
  </si>
  <si>
    <t>ALLIANZ</t>
  </si>
  <si>
    <t>PASSIVO</t>
  </si>
  <si>
    <t>INDENNIZZO DIRETTO PASSIVO</t>
  </si>
  <si>
    <t>URBINO</t>
  </si>
  <si>
    <t>P.ZZA DELLA REPUBBLICA - URBINO</t>
  </si>
  <si>
    <t xml:space="preserve"> Importo Liquidato Euro </t>
  </si>
  <si>
    <t>Controparte</t>
  </si>
  <si>
    <t>Non sono presenti posizioni</t>
  </si>
  <si>
    <t>COMUNE DI URBINO</t>
  </si>
  <si>
    <t>RISCHIO INFORTUNI</t>
  </si>
  <si>
    <t>PERIODO DI OSSERVAZIONE 30/06/2012 - 30/06/2017</t>
  </si>
  <si>
    <t>N. Sin.</t>
  </si>
  <si>
    <t xml:space="preserve">Anno </t>
  </si>
  <si>
    <t>Cliente</t>
  </si>
  <si>
    <t>Data Sin.</t>
  </si>
  <si>
    <t>Prodotto</t>
  </si>
  <si>
    <t>Rif. Compagnia</t>
  </si>
  <si>
    <t>Data Definizione</t>
  </si>
  <si>
    <t xml:space="preserve">Liquidato </t>
  </si>
  <si>
    <t>Riferimento Cliente</t>
  </si>
  <si>
    <t>Infortunio non mortale</t>
  </si>
  <si>
    <t>AIG EUROPE LIMITED</t>
  </si>
  <si>
    <t>INFORTUNI CUMULATIVI</t>
  </si>
  <si>
    <t>IAH0000167</t>
  </si>
  <si>
    <t>(MINORE)</t>
  </si>
  <si>
    <t>1874085025IT</t>
  </si>
  <si>
    <t>SX ALUNNO MATERNA</t>
  </si>
  <si>
    <t>SENZA SEGUITO</t>
  </si>
  <si>
    <t>RISCHIO ALL RISKS</t>
  </si>
  <si>
    <t>Nessun sinistro rilevato</t>
  </si>
  <si>
    <t>POLIZZA RC PATRIMONIALE</t>
  </si>
  <si>
    <t>SITUAZIONE SINISTRI DAL 30.6.2012 AL 30.6.2017</t>
  </si>
  <si>
    <t>NESSUN SINISTRO</t>
  </si>
  <si>
    <t>NESSUNA POLIZZA IN CORSO</t>
  </si>
  <si>
    <t>T</t>
  </si>
  <si>
    <t>TUTELA LEGALE</t>
  </si>
  <si>
    <t>PERIODO DI OSSERVAZIONE DAL 30.6.2012 AL 30.6.2017</t>
  </si>
  <si>
    <t xml:space="preserve">PROCEDIMENTO PENALE </t>
  </si>
  <si>
    <t>richiesto rimborso di € 2.641,01</t>
  </si>
  <si>
    <t>richiesto e liquidato rimborso di € 8.529,32.</t>
  </si>
  <si>
    <t>P.R.G.</t>
  </si>
  <si>
    <t>Importo liquidato agli amministratori come rimborso delle spese sostenute pr il procedimetno penale. E' pendente il sinistro aperto su polizza RCT che in caso di accertamento di responsabilità dovrebbe rifondere tali spese. Trattasi di  decesso di un cittadino per la caduta di un albero</t>
  </si>
  <si>
    <t xml:space="preserve">PREMESSO CHE IL COMUNE DI URBINO NON HA IN CORSO ALCUNA POLIZZA, AL SOLO FINE DI FORNIRE INFORMAZIONI SUL RISCHIO SI INDICANO IN CALCE LE RICHIESTE DI PATROCINIO PERVENUTE ALL'ENTE </t>
  </si>
  <si>
    <t>L'ENTE IN RELAZIONE ALLE RICHIESTE DI PATROCINIO LEGALE PERVENUTE DAI PROPRI DIPENDENTI/AMMINISTRATORI HA ATTIVATO 5 POSIZIONI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</si>
</sst>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 #,##0_-;\-&quot;€&quot;\ * #,##0_-;_-&quot;€&quot;\ * &quot;-&quot;_-;_-@_-"/>
    <numFmt numFmtId="44" formatCode="_-&quot;€&quot;\ * #,##0.00_-;\-&quot;€&quot;\ * #,##0.00_-;_-&quot;€&quot;\ * &quot;-&quot;??_-;_-@_-"/>
    <numFmt numFmtId="164" formatCode="&quot;€&quot;#,##0.00"/>
    <numFmt numFmtId="165" formatCode="&quot;€&quot;\ #,##0.00"/>
  </numFmts>
  <fonts count="18" x14ac:knownFonts="1">
    <font>
      <sz val="10"/>
      <name val="Arial"/>
    </font>
    <font>
      <b/>
      <sz val="10"/>
      <name val="Arial"/>
      <family val="2"/>
    </font>
    <font>
      <sz val="10"/>
      <name val="Arial"/>
      <family val="2"/>
    </font>
    <font>
      <b/>
      <sz val="10"/>
      <name val="Arial"/>
      <family val="2"/>
    </font>
    <font>
      <sz val="10"/>
      <name val="Arial"/>
      <family val="2"/>
    </font>
    <font>
      <b/>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10"/>
      <name val="Arial"/>
      <family val="2"/>
    </font>
    <font>
      <b/>
      <sz val="10"/>
      <color rgb="FFFF0000"/>
      <name val="Arial"/>
      <family val="2"/>
    </font>
    <font>
      <b/>
      <sz val="10"/>
      <color theme="1"/>
      <name val="Arial"/>
      <family val="2"/>
    </font>
    <font>
      <sz val="10"/>
      <name val="Arial"/>
    </font>
    <font>
      <b/>
      <sz val="11"/>
      <color theme="1"/>
      <name val="Calibri"/>
      <family val="2"/>
      <scheme val="minor"/>
    </font>
    <font>
      <sz val="12"/>
      <color rgb="FF000000"/>
      <name val="Calibri"/>
      <family val="2"/>
    </font>
  </fonts>
  <fills count="3">
    <fill>
      <patternFill patternType="none"/>
    </fill>
    <fill>
      <patternFill patternType="gray125"/>
    </fill>
    <fill>
      <patternFill patternType="solid">
        <fgColor theme="4" tint="0.79998168889431442"/>
        <bgColor theme="4" tint="0.79998168889431442"/>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theme="4" tint="0.39997558519241921"/>
      </bottom>
      <diagonal/>
    </border>
    <border>
      <left/>
      <right/>
      <top style="thin">
        <color theme="4" tint="0.3999755851924192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44" fontId="15" fillId="0" borderId="0" applyFont="0" applyFill="0" applyBorder="0" applyAlignment="0" applyProtection="0"/>
  </cellStyleXfs>
  <cellXfs count="69">
    <xf numFmtId="0" fontId="0" fillId="0" borderId="0" xfId="0"/>
    <xf numFmtId="0" fontId="1" fillId="0" borderId="1" xfId="0" applyFont="1" applyBorder="1" applyAlignment="1">
      <alignment horizontal="center"/>
    </xf>
    <xf numFmtId="0" fontId="3" fillId="0" borderId="1" xfId="0" applyFont="1" applyBorder="1" applyAlignment="1">
      <alignment horizontal="center"/>
    </xf>
    <xf numFmtId="0" fontId="5" fillId="0" borderId="1" xfId="0" applyFont="1" applyBorder="1" applyAlignment="1">
      <alignment horizontal="center"/>
    </xf>
    <xf numFmtId="14" fontId="4" fillId="0" borderId="1" xfId="0" applyNumberFormat="1" applyFont="1" applyBorder="1" applyAlignment="1">
      <alignment horizontal="center"/>
    </xf>
    <xf numFmtId="44" fontId="0" fillId="0" borderId="0" xfId="0" applyNumberFormat="1"/>
    <xf numFmtId="0" fontId="0" fillId="0" borderId="1" xfId="0" applyBorder="1"/>
    <xf numFmtId="49" fontId="0" fillId="0" borderId="1" xfId="0" applyNumberFormat="1" applyBorder="1"/>
    <xf numFmtId="0" fontId="2" fillId="0" borderId="1" xfId="0" applyNumberFormat="1" applyFont="1" applyBorder="1" applyAlignment="1">
      <alignment horizontal="left"/>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center"/>
    </xf>
    <xf numFmtId="0" fontId="1" fillId="0" borderId="1" xfId="0" applyNumberFormat="1" applyFont="1" applyBorder="1" applyAlignment="1">
      <alignment horizontal="center"/>
    </xf>
    <xf numFmtId="0" fontId="4" fillId="0" borderId="1" xfId="0" applyNumberFormat="1" applyFont="1" applyBorder="1" applyAlignment="1">
      <alignment horizontal="center"/>
    </xf>
    <xf numFmtId="0" fontId="0" fillId="0" borderId="1" xfId="0" applyNumberFormat="1" applyBorder="1" applyAlignment="1">
      <alignment horizontal="center"/>
    </xf>
    <xf numFmtId="0" fontId="0" fillId="0" borderId="0" xfId="0" applyNumberFormat="1"/>
    <xf numFmtId="164" fontId="12" fillId="0" borderId="1" xfId="0" applyNumberFormat="1" applyFont="1" applyBorder="1" applyAlignment="1">
      <alignment horizontal="center"/>
    </xf>
    <xf numFmtId="164" fontId="6" fillId="0" borderId="1" xfId="0" applyNumberFormat="1" applyFont="1" applyBorder="1" applyAlignment="1">
      <alignment horizontal="right"/>
    </xf>
    <xf numFmtId="164" fontId="10" fillId="0" borderId="1" xfId="0" applyNumberFormat="1" applyFont="1" applyBorder="1" applyAlignment="1">
      <alignment horizontal="right"/>
    </xf>
    <xf numFmtId="164" fontId="11" fillId="0" borderId="1" xfId="0" applyNumberFormat="1" applyFont="1" applyBorder="1" applyAlignment="1">
      <alignment horizontal="right"/>
    </xf>
    <xf numFmtId="164" fontId="9" fillId="0" borderId="1" xfId="0" applyNumberFormat="1" applyFont="1" applyBorder="1" applyAlignment="1">
      <alignment horizontal="right"/>
    </xf>
    <xf numFmtId="164" fontId="7" fillId="0" borderId="1" xfId="0" applyNumberFormat="1" applyFont="1" applyBorder="1" applyAlignment="1">
      <alignment horizontal="right"/>
    </xf>
    <xf numFmtId="164" fontId="8" fillId="0" borderId="1" xfId="0" applyNumberFormat="1" applyFont="1" applyBorder="1" applyAlignment="1">
      <alignment horizontal="right"/>
    </xf>
    <xf numFmtId="164" fontId="0" fillId="0" borderId="1" xfId="0" applyNumberFormat="1" applyBorder="1"/>
    <xf numFmtId="164" fontId="0" fillId="0" borderId="0" xfId="0" applyNumberFormat="1"/>
    <xf numFmtId="44" fontId="1" fillId="0" borderId="1" xfId="0" applyNumberFormat="1" applyFont="1" applyBorder="1" applyAlignment="1">
      <alignment horizontal="center"/>
    </xf>
    <xf numFmtId="49" fontId="0" fillId="0" borderId="1" xfId="0" applyNumberFormat="1" applyFont="1" applyBorder="1" applyAlignment="1">
      <alignment horizontal="left"/>
    </xf>
    <xf numFmtId="0" fontId="13" fillId="0" borderId="0" xfId="0" applyNumberFormat="1" applyFont="1"/>
    <xf numFmtId="164" fontId="13" fillId="0" borderId="0" xfId="0" applyNumberFormat="1" applyFont="1"/>
    <xf numFmtId="164" fontId="13" fillId="0" borderId="0" xfId="0" applyNumberFormat="1" applyFont="1" applyAlignment="1">
      <alignment horizontal="right"/>
    </xf>
    <xf numFmtId="0" fontId="0" fillId="0" borderId="0" xfId="0" pivotButton="1"/>
    <xf numFmtId="0" fontId="0" fillId="0" borderId="0" xfId="0" applyAlignment="1">
      <alignment horizontal="left" indent="1"/>
    </xf>
    <xf numFmtId="165" fontId="0" fillId="0" borderId="0" xfId="0" applyNumberFormat="1"/>
    <xf numFmtId="0" fontId="14" fillId="2" borderId="0" xfId="0" applyFont="1" applyFill="1"/>
    <xf numFmtId="3" fontId="0" fillId="0" borderId="0" xfId="0" applyNumberFormat="1"/>
    <xf numFmtId="0" fontId="14" fillId="2" borderId="0" xfId="0" applyFont="1" applyFill="1" applyAlignment="1">
      <alignment horizontal="left"/>
    </xf>
    <xf numFmtId="165" fontId="14" fillId="2" borderId="0" xfId="0" applyNumberFormat="1" applyFont="1" applyFill="1"/>
    <xf numFmtId="0" fontId="2" fillId="0" borderId="0" xfId="0" applyFont="1"/>
    <xf numFmtId="0" fontId="0" fillId="0" borderId="0" xfId="0" applyAlignment="1">
      <alignment horizontal="center"/>
    </xf>
    <xf numFmtId="0" fontId="14" fillId="2" borderId="2" xfId="0" applyFont="1" applyFill="1" applyBorder="1" applyAlignment="1">
      <alignment horizontal="center"/>
    </xf>
    <xf numFmtId="4" fontId="0" fillId="0" borderId="0" xfId="0" applyNumberFormat="1"/>
    <xf numFmtId="3" fontId="14" fillId="2" borderId="3" xfId="0" applyNumberFormat="1" applyFont="1" applyFill="1" applyBorder="1"/>
    <xf numFmtId="2" fontId="0" fillId="0" borderId="0" xfId="0" applyNumberFormat="1"/>
    <xf numFmtId="0" fontId="13" fillId="0" borderId="0" xfId="0" applyFont="1"/>
    <xf numFmtId="164" fontId="2" fillId="0" borderId="0" xfId="0" applyNumberFormat="1" applyFont="1"/>
    <xf numFmtId="0" fontId="16" fillId="0" borderId="1" xfId="0" applyFont="1" applyBorder="1"/>
    <xf numFmtId="49" fontId="16" fillId="0" borderId="1" xfId="0" applyNumberFormat="1" applyFont="1" applyBorder="1"/>
    <xf numFmtId="44" fontId="16" fillId="0" borderId="1" xfId="1" applyFont="1" applyBorder="1"/>
    <xf numFmtId="14" fontId="0" fillId="0" borderId="1" xfId="0" applyNumberFormat="1" applyBorder="1"/>
    <xf numFmtId="44" fontId="0" fillId="0" borderId="1" xfId="1" applyFont="1" applyBorder="1"/>
    <xf numFmtId="0" fontId="16" fillId="0" borderId="0" xfId="0" applyFont="1"/>
    <xf numFmtId="49" fontId="16" fillId="0" borderId="0" xfId="0" applyNumberFormat="1" applyFont="1"/>
    <xf numFmtId="49" fontId="0" fillId="0" borderId="0" xfId="0" applyNumberFormat="1"/>
    <xf numFmtId="42" fontId="0" fillId="0" borderId="0" xfId="0" applyNumberFormat="1"/>
    <xf numFmtId="42" fontId="16" fillId="0" borderId="1" xfId="0" applyNumberFormat="1" applyFont="1" applyBorder="1"/>
    <xf numFmtId="42" fontId="0" fillId="0" borderId="1" xfId="0" applyNumberFormat="1" applyBorder="1"/>
    <xf numFmtId="0" fontId="17" fillId="0" borderId="1" xfId="0" applyFont="1" applyBorder="1" applyAlignment="1">
      <alignment vertical="center"/>
    </xf>
    <xf numFmtId="0" fontId="17" fillId="0" borderId="0" xfId="0" applyFont="1" applyFill="1" applyBorder="1" applyAlignment="1">
      <alignment vertical="center"/>
    </xf>
    <xf numFmtId="0" fontId="0" fillId="0" borderId="4" xfId="0" applyFill="1" applyBorder="1"/>
    <xf numFmtId="0" fontId="2" fillId="0" borderId="1" xfId="0" applyFont="1" applyBorder="1" applyAlignment="1">
      <alignment wrapText="1"/>
    </xf>
    <xf numFmtId="0" fontId="0" fillId="0" borderId="5" xfId="0" applyBorder="1"/>
    <xf numFmtId="0" fontId="0" fillId="0" borderId="6" xfId="0" applyBorder="1"/>
    <xf numFmtId="0" fontId="1" fillId="0" borderId="7"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2" fillId="0" borderId="1" xfId="0" applyFont="1" applyBorder="1"/>
  </cellXfs>
  <cellStyles count="2">
    <cellStyle name="Normale" xfId="0" builtinId="0"/>
    <cellStyle name="Valuta" xfId="1" builtinId="4"/>
  </cellStyles>
  <dxfs count="2">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Fiorella Zanello" refreshedDate="42990.726503819445" createdVersion="6" refreshedVersion="5" minRefreshableVersion="3" recordCount="73">
  <cacheSource type="worksheet">
    <worksheetSource ref="A4:L77" sheet="rct_o"/>
  </cacheSource>
  <cacheFields count="12">
    <cacheField name="Compagnia" numFmtId="0">
      <sharedItems/>
    </cacheField>
    <cacheField name="Numero Sx" numFmtId="0">
      <sharedItems containsSemiMixedTypes="0" containsString="0" containsNumber="1" containsInteger="1" minValue="87" maxValue="201617023"/>
    </cacheField>
    <cacheField name="Data Accadimento" numFmtId="14">
      <sharedItems containsSemiMixedTypes="0" containsNonDate="0" containsDate="1" containsString="0" minDate="2012-05-23T00:00:00" maxDate="2017-06-30T00:00:00"/>
    </cacheField>
    <cacheField name="Anno polizza" numFmtId="0">
      <sharedItems containsSemiMixedTypes="0" containsString="0" containsNumber="1" containsInteger="1" minValue="1" maxValue="6" count="6">
        <n v="1"/>
        <n v="2"/>
        <n v="3"/>
        <n v="4"/>
        <n v="5"/>
        <n v="6"/>
      </sharedItems>
    </cacheField>
    <cacheField name="Anno" numFmtId="0">
      <sharedItems containsSemiMixedTypes="0" containsString="0" containsNumber="1" containsInteger="1" minValue="2012" maxValue="2017"/>
    </cacheField>
    <cacheField name="Stato" numFmtId="49">
      <sharedItems count="3">
        <s v="SS"/>
        <s v="RISERVATO"/>
        <s v="LIQUIDATO"/>
      </sharedItems>
    </cacheField>
    <cacheField name="PAGATO" numFmtId="164">
      <sharedItems containsSemiMixedTypes="0" containsString="0" containsNumber="1" minValue="0" maxValue="15000"/>
    </cacheField>
    <cacheField name="RISERVA" numFmtId="164">
      <sharedItems containsSemiMixedTypes="0" containsString="0" containsNumber="1" minValue="0" maxValue="90280"/>
    </cacheField>
    <cacheField name="VALORE SX" numFmtId="164">
      <sharedItems containsSemiMixedTypes="0" containsString="0" containsNumber="1" minValue="0" maxValue="90280"/>
    </cacheField>
    <cacheField name="Costo Cliente" numFmtId="164">
      <sharedItems containsSemiMixedTypes="0" containsString="0" containsNumber="1" minValue="0" maxValue="5000"/>
    </cacheField>
    <cacheField name="Costo SIR" numFmtId="164">
      <sharedItems containsSemiMixedTypes="0" containsString="0" containsNumber="1" containsInteger="1" minValue="0" maxValue="0"/>
    </cacheField>
    <cacheField name="Costo Assicuratore" numFmtId="164">
      <sharedItems containsSemiMixedTypes="0" containsString="0" containsNumber="1" minValue="0" maxValue="8528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3">
  <r>
    <s v="Ariscom"/>
    <n v="201203265"/>
    <d v="2012-05-23T00:00:00"/>
    <x v="0"/>
    <n v="2012"/>
    <x v="0"/>
    <n v="0"/>
    <n v="0"/>
    <n v="0"/>
    <n v="0"/>
    <n v="0"/>
    <n v="0"/>
  </r>
  <r>
    <s v="Ariscom"/>
    <n v="201204973"/>
    <d v="2012-06-12T00:00:00"/>
    <x v="0"/>
    <n v="2012"/>
    <x v="0"/>
    <n v="0"/>
    <n v="0"/>
    <n v="0"/>
    <n v="0"/>
    <n v="0"/>
    <n v="0"/>
  </r>
  <r>
    <s v="Ariscom"/>
    <n v="201203771"/>
    <d v="2012-06-12T00:00:00"/>
    <x v="0"/>
    <n v="2012"/>
    <x v="1"/>
    <n v="0"/>
    <n v="8000"/>
    <n v="8000"/>
    <n v="5000"/>
    <n v="0"/>
    <n v="3000"/>
  </r>
  <r>
    <s v="Ariscom"/>
    <n v="201205596"/>
    <d v="2012-08-04T00:00:00"/>
    <x v="0"/>
    <n v="2012"/>
    <x v="2"/>
    <n v="2137"/>
    <n v="0"/>
    <n v="2137"/>
    <n v="2137"/>
    <n v="0"/>
    <n v="0"/>
  </r>
  <r>
    <s v="Ariscom"/>
    <n v="201205757"/>
    <d v="2012-08-07T00:00:00"/>
    <x v="0"/>
    <n v="2012"/>
    <x v="0"/>
    <n v="0"/>
    <n v="0"/>
    <n v="0"/>
    <n v="0"/>
    <n v="0"/>
    <n v="0"/>
  </r>
  <r>
    <s v="Ariscom"/>
    <n v="201206504"/>
    <d v="2012-09-26T00:00:00"/>
    <x v="0"/>
    <n v="2012"/>
    <x v="2"/>
    <n v="7214.38"/>
    <n v="0"/>
    <n v="7214.38"/>
    <n v="5000"/>
    <n v="0"/>
    <n v="2214.38"/>
  </r>
  <r>
    <s v="Ariscom"/>
    <n v="201307303"/>
    <d v="2012-10-04T00:00:00"/>
    <x v="0"/>
    <n v="2012"/>
    <x v="0"/>
    <n v="0"/>
    <n v="0"/>
    <n v="0"/>
    <n v="0"/>
    <n v="0"/>
    <n v="0"/>
  </r>
  <r>
    <s v="Ariscom"/>
    <n v="201206505"/>
    <d v="2012-10-15T00:00:00"/>
    <x v="0"/>
    <n v="2012"/>
    <x v="0"/>
    <n v="0"/>
    <n v="0"/>
    <n v="0"/>
    <n v="0"/>
    <n v="0"/>
    <n v="0"/>
  </r>
  <r>
    <s v="Ariscom"/>
    <n v="201303443"/>
    <d v="2012-12-12T00:00:00"/>
    <x v="0"/>
    <n v="2012"/>
    <x v="2"/>
    <n v="15000"/>
    <n v="0"/>
    <n v="15000"/>
    <n v="5000"/>
    <n v="0"/>
    <n v="10000"/>
  </r>
  <r>
    <s v="Ariscom"/>
    <n v="201305460"/>
    <d v="2012-12-19T00:00:00"/>
    <x v="0"/>
    <n v="2012"/>
    <x v="0"/>
    <n v="0"/>
    <n v="0"/>
    <n v="0"/>
    <n v="0"/>
    <n v="0"/>
    <n v="0"/>
  </r>
  <r>
    <s v="Ariscom"/>
    <n v="201309060"/>
    <d v="2013-03-09T00:00:00"/>
    <x v="0"/>
    <n v="2013"/>
    <x v="0"/>
    <n v="0"/>
    <n v="0"/>
    <n v="0"/>
    <n v="0"/>
    <n v="0"/>
    <n v="0"/>
  </r>
  <r>
    <s v="Ariscom"/>
    <n v="201316272"/>
    <d v="2013-05-31T00:00:00"/>
    <x v="1"/>
    <n v="2013"/>
    <x v="0"/>
    <n v="0"/>
    <n v="0"/>
    <n v="0"/>
    <n v="0"/>
    <n v="0"/>
    <n v="0"/>
  </r>
  <r>
    <s v="Ariscom"/>
    <n v="201316273"/>
    <d v="2013-06-11T00:00:00"/>
    <x v="1"/>
    <n v="2013"/>
    <x v="1"/>
    <n v="0"/>
    <n v="3320.5"/>
    <n v="3320.5"/>
    <n v="3320.5"/>
    <n v="0"/>
    <n v="0"/>
  </r>
  <r>
    <s v="Ariscom"/>
    <n v="201316274"/>
    <d v="2013-06-13T00:00:00"/>
    <x v="1"/>
    <n v="2013"/>
    <x v="0"/>
    <n v="0"/>
    <n v="0"/>
    <n v="0"/>
    <n v="0"/>
    <n v="0"/>
    <n v="0"/>
  </r>
  <r>
    <s v="Ariscom"/>
    <n v="201315133"/>
    <d v="2013-06-18T00:00:00"/>
    <x v="1"/>
    <n v="2013"/>
    <x v="0"/>
    <n v="0"/>
    <n v="0"/>
    <n v="0"/>
    <n v="0"/>
    <n v="0"/>
    <n v="0"/>
  </r>
  <r>
    <s v="Ariscom"/>
    <n v="201402808"/>
    <d v="2013-08-03T00:00:00"/>
    <x v="1"/>
    <n v="2013"/>
    <x v="2"/>
    <n v="2400"/>
    <n v="0"/>
    <n v="2400"/>
    <n v="2400"/>
    <n v="0"/>
    <n v="0"/>
  </r>
  <r>
    <s v="Ariscom"/>
    <n v="201320309"/>
    <d v="2013-10-22T00:00:00"/>
    <x v="1"/>
    <n v="2013"/>
    <x v="0"/>
    <n v="0"/>
    <n v="0"/>
    <n v="0"/>
    <n v="0"/>
    <n v="0"/>
    <n v="0"/>
  </r>
  <r>
    <s v="Ariscom"/>
    <n v="201320316"/>
    <d v="2013-10-24T00:00:00"/>
    <x v="1"/>
    <n v="2013"/>
    <x v="0"/>
    <n v="0"/>
    <n v="0"/>
    <n v="0"/>
    <n v="0"/>
    <n v="0"/>
    <n v="0"/>
  </r>
  <r>
    <s v="Ariscom"/>
    <n v="201400880"/>
    <d v="2013-10-29T00:00:00"/>
    <x v="1"/>
    <n v="2013"/>
    <x v="0"/>
    <n v="0"/>
    <n v="0"/>
    <n v="0"/>
    <n v="0"/>
    <n v="0"/>
    <n v="0"/>
  </r>
  <r>
    <s v="Ariscom"/>
    <n v="201400881"/>
    <d v="2013-11-11T00:00:00"/>
    <x v="1"/>
    <n v="2013"/>
    <x v="0"/>
    <n v="0"/>
    <n v="0"/>
    <n v="0"/>
    <n v="0"/>
    <n v="0"/>
    <n v="0"/>
  </r>
  <r>
    <s v="Ariscom"/>
    <n v="201402807"/>
    <d v="2013-11-11T00:00:00"/>
    <x v="1"/>
    <n v="2013"/>
    <x v="0"/>
    <n v="0"/>
    <n v="0"/>
    <n v="0"/>
    <n v="0"/>
    <n v="0"/>
    <n v="0"/>
  </r>
  <r>
    <s v="Ariscom"/>
    <n v="201404705"/>
    <d v="2014-02-04T00:00:00"/>
    <x v="1"/>
    <n v="2014"/>
    <x v="0"/>
    <n v="0"/>
    <n v="0"/>
    <n v="0"/>
    <n v="0"/>
    <n v="0"/>
    <n v="0"/>
  </r>
  <r>
    <s v="Ariscom"/>
    <n v="201409060"/>
    <d v="2014-03-14T00:00:00"/>
    <x v="1"/>
    <n v="2014"/>
    <x v="0"/>
    <n v="0"/>
    <n v="0"/>
    <n v="0"/>
    <n v="0"/>
    <n v="0"/>
    <n v="0"/>
  </r>
  <r>
    <s v="Ariscom"/>
    <n v="201409071"/>
    <d v="2014-03-18T00:00:00"/>
    <x v="1"/>
    <n v="2014"/>
    <x v="0"/>
    <n v="0"/>
    <n v="0"/>
    <n v="0"/>
    <n v="0"/>
    <n v="0"/>
    <n v="0"/>
  </r>
  <r>
    <s v="Ariscom"/>
    <n v="201409051"/>
    <d v="2014-03-20T00:00:00"/>
    <x v="1"/>
    <n v="2014"/>
    <x v="2"/>
    <n v="3000"/>
    <n v="0"/>
    <n v="3000"/>
    <n v="3000"/>
    <n v="0"/>
    <n v="0"/>
  </r>
  <r>
    <s v="Ariscom"/>
    <n v="201503350"/>
    <d v="2014-05-03T00:00:00"/>
    <x v="2"/>
    <n v="2014"/>
    <x v="1"/>
    <n v="0"/>
    <n v="35020.5"/>
    <n v="35020.5"/>
    <n v="5000"/>
    <n v="0"/>
    <n v="30020.5"/>
  </r>
  <r>
    <s v="Ariscom"/>
    <n v="201409070"/>
    <d v="2014-05-10T00:00:00"/>
    <x v="2"/>
    <n v="2014"/>
    <x v="2"/>
    <n v="3900"/>
    <n v="0"/>
    <n v="3900"/>
    <n v="3900"/>
    <n v="0"/>
    <n v="0"/>
  </r>
  <r>
    <s v="Ariscom"/>
    <n v="201515223"/>
    <d v="2014-06-17T00:00:00"/>
    <x v="2"/>
    <n v="2014"/>
    <x v="1"/>
    <n v="0"/>
    <n v="10520.5"/>
    <n v="10520.5"/>
    <n v="5000"/>
    <n v="0"/>
    <n v="5520.5"/>
  </r>
  <r>
    <s v="Ariscom"/>
    <n v="201617023"/>
    <d v="2014-09-26T00:00:00"/>
    <x v="2"/>
    <n v="2014"/>
    <x v="1"/>
    <n v="0"/>
    <n v="22.5"/>
    <n v="22.5"/>
    <n v="22.5"/>
    <n v="0"/>
    <n v="0"/>
  </r>
  <r>
    <s v="Ariscom"/>
    <n v="201604279"/>
    <d v="2014-12-03T00:00:00"/>
    <x v="2"/>
    <n v="2014"/>
    <x v="1"/>
    <n v="0"/>
    <n v="10775"/>
    <n v="10775"/>
    <n v="5000"/>
    <n v="0"/>
    <n v="5775"/>
  </r>
  <r>
    <s v="Ariscom"/>
    <n v="201504953"/>
    <d v="2015-02-06T00:00:00"/>
    <x v="2"/>
    <n v="2015"/>
    <x v="1"/>
    <n v="0"/>
    <n v="6800"/>
    <n v="6800"/>
    <n v="5000"/>
    <n v="0"/>
    <n v="1800"/>
  </r>
  <r>
    <s v="Ariscom"/>
    <n v="201512147"/>
    <d v="2015-02-06T00:00:00"/>
    <x v="2"/>
    <n v="2015"/>
    <x v="1"/>
    <n v="0"/>
    <n v="38020.5"/>
    <n v="38020.5"/>
    <n v="5000"/>
    <n v="0"/>
    <n v="33020.5"/>
  </r>
  <r>
    <s v="Ariscom"/>
    <n v="201516282"/>
    <d v="2015-02-06T00:00:00"/>
    <x v="2"/>
    <n v="2015"/>
    <x v="1"/>
    <n v="0"/>
    <n v="23000"/>
    <n v="23000"/>
    <n v="5000"/>
    <n v="0"/>
    <n v="18000"/>
  </r>
  <r>
    <s v="Ariscom"/>
    <n v="201509949"/>
    <d v="2015-02-16T00:00:00"/>
    <x v="2"/>
    <n v="2015"/>
    <x v="1"/>
    <n v="0"/>
    <n v="3000"/>
    <n v="3000"/>
    <n v="3000"/>
    <n v="0"/>
    <n v="0"/>
  </r>
  <r>
    <s v="Ariscom"/>
    <n v="201508256"/>
    <d v="2015-03-01T00:00:00"/>
    <x v="2"/>
    <n v="2015"/>
    <x v="2"/>
    <n v="5300"/>
    <n v="0"/>
    <n v="5300"/>
    <n v="5000"/>
    <n v="0"/>
    <n v="300"/>
  </r>
  <r>
    <s v="Ariscom"/>
    <n v="201509856"/>
    <d v="2015-03-05T00:00:00"/>
    <x v="2"/>
    <n v="2015"/>
    <x v="1"/>
    <n v="0"/>
    <n v="6000"/>
    <n v="6000"/>
    <n v="5000"/>
    <n v="0"/>
    <n v="1000"/>
  </r>
  <r>
    <s v="Ariscom"/>
    <n v="201505451"/>
    <d v="2015-03-05T00:00:00"/>
    <x v="2"/>
    <n v="2015"/>
    <x v="1"/>
    <n v="0"/>
    <n v="5000"/>
    <n v="5000"/>
    <n v="5000"/>
    <n v="0"/>
    <n v="0"/>
  </r>
  <r>
    <s v="Ariscom"/>
    <n v="201505464"/>
    <d v="2015-03-05T00:00:00"/>
    <x v="2"/>
    <n v="2015"/>
    <x v="1"/>
    <n v="0"/>
    <n v="90280"/>
    <n v="90280"/>
    <n v="5000"/>
    <n v="0"/>
    <n v="85280"/>
  </r>
  <r>
    <s v="AIG"/>
    <n v="2869"/>
    <d v="2015-05-10T00:00:00"/>
    <x v="3"/>
    <n v="2015"/>
    <x v="1"/>
    <n v="0"/>
    <n v="5450"/>
    <n v="5450"/>
    <n v="5000"/>
    <n v="0"/>
    <n v="450"/>
  </r>
  <r>
    <s v="AIG"/>
    <n v="2455"/>
    <d v="2015-05-14T00:00:00"/>
    <x v="3"/>
    <n v="2015"/>
    <x v="1"/>
    <n v="0"/>
    <n v="8450"/>
    <n v="8450"/>
    <n v="5000"/>
    <n v="0"/>
    <n v="3450"/>
  </r>
  <r>
    <s v="AIG"/>
    <n v="3250"/>
    <d v="2015-05-14T00:00:00"/>
    <x v="3"/>
    <n v="2015"/>
    <x v="0"/>
    <n v="0"/>
    <n v="0"/>
    <n v="0"/>
    <n v="0"/>
    <n v="0"/>
    <n v="0"/>
  </r>
  <r>
    <s v="AIG"/>
    <n v="2454"/>
    <d v="2015-05-17T00:00:00"/>
    <x v="3"/>
    <n v="2015"/>
    <x v="2"/>
    <n v="1150"/>
    <n v="0"/>
    <n v="1150"/>
    <n v="1150"/>
    <n v="0"/>
    <n v="0"/>
  </r>
  <r>
    <s v="AIG"/>
    <n v="3347"/>
    <d v="2015-06-11T00:00:00"/>
    <x v="3"/>
    <n v="2015"/>
    <x v="2"/>
    <n v="500"/>
    <n v="0"/>
    <n v="500"/>
    <n v="500"/>
    <n v="0"/>
    <n v="0"/>
  </r>
  <r>
    <s v="AIG"/>
    <n v="2464"/>
    <d v="2015-06-17T00:00:00"/>
    <x v="3"/>
    <n v="2015"/>
    <x v="0"/>
    <n v="0"/>
    <n v="0"/>
    <n v="0"/>
    <n v="0"/>
    <n v="0"/>
    <n v="0"/>
  </r>
  <r>
    <s v="AIG"/>
    <n v="2791"/>
    <d v="2015-08-29T00:00:00"/>
    <x v="3"/>
    <n v="2015"/>
    <x v="2"/>
    <n v="4050"/>
    <n v="0"/>
    <n v="4050"/>
    <n v="4050"/>
    <n v="0"/>
    <n v="0"/>
  </r>
  <r>
    <s v="AIG"/>
    <n v="3254"/>
    <d v="2015-09-17T00:00:00"/>
    <x v="3"/>
    <n v="2015"/>
    <x v="2"/>
    <n v="800"/>
    <n v="0"/>
    <n v="800"/>
    <n v="800"/>
    <n v="0"/>
    <n v="0"/>
  </r>
  <r>
    <s v="AIG"/>
    <n v="3252"/>
    <d v="2015-09-25T00:00:00"/>
    <x v="3"/>
    <n v="2015"/>
    <x v="2"/>
    <n v="1500"/>
    <n v="0"/>
    <n v="1500"/>
    <n v="1500"/>
    <n v="0"/>
    <n v="0"/>
  </r>
  <r>
    <s v="AIG"/>
    <n v="87"/>
    <d v="2015-11-16T00:00:00"/>
    <x v="3"/>
    <n v="2015"/>
    <x v="0"/>
    <n v="0"/>
    <n v="0"/>
    <n v="0"/>
    <n v="0"/>
    <n v="0"/>
    <n v="0"/>
  </r>
  <r>
    <s v="AIG"/>
    <n v="109"/>
    <d v="2016-01-11T00:00:00"/>
    <x v="3"/>
    <n v="2016"/>
    <x v="2"/>
    <n v="1100"/>
    <n v="0"/>
    <n v="1100"/>
    <n v="1100"/>
    <n v="0"/>
    <n v="0"/>
  </r>
  <r>
    <s v="AIG"/>
    <n v="678"/>
    <d v="2016-01-20T00:00:00"/>
    <x v="3"/>
    <n v="2016"/>
    <x v="0"/>
    <n v="0"/>
    <n v="0"/>
    <n v="0"/>
    <n v="0"/>
    <n v="0"/>
    <n v="0"/>
  </r>
  <r>
    <s v="AIG"/>
    <n v="958"/>
    <d v="2016-03-01T00:00:00"/>
    <x v="3"/>
    <n v="2016"/>
    <x v="1"/>
    <n v="0"/>
    <n v="1486"/>
    <n v="1486"/>
    <n v="1486"/>
    <n v="0"/>
    <n v="0"/>
  </r>
  <r>
    <s v="AIG"/>
    <n v="1165"/>
    <d v="2016-03-08T00:00:00"/>
    <x v="3"/>
    <n v="2016"/>
    <x v="0"/>
    <n v="0"/>
    <n v="0"/>
    <n v="0"/>
    <n v="0"/>
    <n v="0"/>
    <n v="0"/>
  </r>
  <r>
    <s v="AIG"/>
    <n v="1166"/>
    <d v="2016-04-01T00:00:00"/>
    <x v="4"/>
    <n v="2016"/>
    <x v="0"/>
    <n v="0"/>
    <n v="0"/>
    <n v="0"/>
    <n v="0"/>
    <n v="0"/>
    <n v="0"/>
  </r>
  <r>
    <s v="AIG"/>
    <n v="1279"/>
    <d v="2016-05-08T00:00:00"/>
    <x v="4"/>
    <n v="2016"/>
    <x v="0"/>
    <n v="0"/>
    <n v="0"/>
    <n v="0"/>
    <n v="0"/>
    <n v="0"/>
    <n v="0"/>
  </r>
  <r>
    <s v="AIG"/>
    <n v="2751"/>
    <d v="2016-07-05T00:00:00"/>
    <x v="4"/>
    <n v="2016"/>
    <x v="0"/>
    <n v="0"/>
    <n v="0"/>
    <n v="0"/>
    <n v="0"/>
    <n v="0"/>
    <n v="0"/>
  </r>
  <r>
    <s v="AIG"/>
    <n v="1951"/>
    <d v="2016-07-11T00:00:00"/>
    <x v="4"/>
    <n v="2016"/>
    <x v="1"/>
    <n v="0"/>
    <n v="19000"/>
    <n v="19000"/>
    <n v="5000"/>
    <n v="0"/>
    <n v="14000"/>
  </r>
  <r>
    <s v="AIG"/>
    <n v="2124"/>
    <d v="2016-07-19T00:00:00"/>
    <x v="4"/>
    <n v="2016"/>
    <x v="1"/>
    <n v="0"/>
    <n v="7000"/>
    <n v="7000"/>
    <n v="5000"/>
    <n v="0"/>
    <n v="2000"/>
  </r>
  <r>
    <s v="AIG"/>
    <n v="2607"/>
    <d v="2016-08-21T00:00:00"/>
    <x v="4"/>
    <n v="2016"/>
    <x v="0"/>
    <n v="0"/>
    <n v="0"/>
    <n v="0"/>
    <n v="0"/>
    <n v="0"/>
    <n v="0"/>
  </r>
  <r>
    <s v="AIG"/>
    <n v="2613"/>
    <d v="2016-09-28T00:00:00"/>
    <x v="4"/>
    <n v="2016"/>
    <x v="0"/>
    <n v="0"/>
    <n v="0"/>
    <n v="0"/>
    <n v="0"/>
    <n v="0"/>
    <n v="0"/>
  </r>
  <r>
    <s v="AIG"/>
    <n v="2773"/>
    <d v="2016-10-04T00:00:00"/>
    <x v="4"/>
    <n v="2016"/>
    <x v="2"/>
    <n v="1750"/>
    <n v="0"/>
    <n v="1750"/>
    <n v="1750"/>
    <n v="0"/>
    <n v="0"/>
  </r>
  <r>
    <s v="AIG"/>
    <n v="2899"/>
    <d v="2016-10-04T00:00:00"/>
    <x v="4"/>
    <n v="2016"/>
    <x v="0"/>
    <n v="0"/>
    <n v="0"/>
    <n v="0"/>
    <n v="0"/>
    <n v="0"/>
    <n v="0"/>
  </r>
  <r>
    <s v="AIG"/>
    <n v="3070"/>
    <d v="2016-11-06T00:00:00"/>
    <x v="4"/>
    <n v="2016"/>
    <x v="1"/>
    <n v="0"/>
    <n v="2961"/>
    <n v="2961"/>
    <n v="2961"/>
    <n v="0"/>
    <n v="0"/>
  </r>
  <r>
    <s v="AIG"/>
    <n v="1225"/>
    <d v="2016-11-06T00:00:00"/>
    <x v="4"/>
    <n v="2016"/>
    <x v="0"/>
    <n v="0"/>
    <n v="0"/>
    <n v="0"/>
    <n v="0"/>
    <n v="0"/>
    <n v="0"/>
  </r>
  <r>
    <s v="AIG"/>
    <n v="3226"/>
    <d v="2016-11-23T00:00:00"/>
    <x v="4"/>
    <n v="2016"/>
    <x v="0"/>
    <n v="0"/>
    <n v="0"/>
    <n v="0"/>
    <n v="0"/>
    <n v="0"/>
    <n v="0"/>
  </r>
  <r>
    <s v="AIG"/>
    <n v="957"/>
    <d v="2016-12-07T00:00:00"/>
    <x v="4"/>
    <n v="2016"/>
    <x v="0"/>
    <n v="0"/>
    <n v="0"/>
    <n v="0"/>
    <n v="0"/>
    <n v="0"/>
    <n v="0"/>
  </r>
  <r>
    <s v="AIG"/>
    <n v="333"/>
    <d v="2016-12-31T00:00:00"/>
    <x v="4"/>
    <n v="2016"/>
    <x v="1"/>
    <n v="0"/>
    <n v="5600"/>
    <n v="5600"/>
    <n v="5000"/>
    <n v="0"/>
    <n v="600"/>
  </r>
  <r>
    <s v="AIG"/>
    <n v="883"/>
    <d v="2017-03-09T00:00:00"/>
    <x v="4"/>
    <n v="2017"/>
    <x v="1"/>
    <n v="0"/>
    <n v="600"/>
    <n v="600"/>
    <n v="600"/>
    <n v="0"/>
    <n v="0"/>
  </r>
  <r>
    <s v="AIG"/>
    <n v="976"/>
    <d v="2017-03-18T00:00:00"/>
    <x v="4"/>
    <n v="2017"/>
    <x v="1"/>
    <n v="0"/>
    <n v="4001"/>
    <n v="4001"/>
    <n v="4001"/>
    <n v="0"/>
    <n v="0"/>
  </r>
  <r>
    <s v="AIG"/>
    <n v="1300"/>
    <d v="2017-04-16T00:00:00"/>
    <x v="5"/>
    <n v="2017"/>
    <x v="0"/>
    <n v="0"/>
    <n v="0"/>
    <n v="0"/>
    <n v="0"/>
    <n v="0"/>
    <n v="0"/>
  </r>
  <r>
    <s v="AIG"/>
    <n v="1693"/>
    <d v="2017-04-30T00:00:00"/>
    <x v="5"/>
    <n v="2017"/>
    <x v="1"/>
    <n v="0"/>
    <n v="5000"/>
    <n v="5000"/>
    <n v="5000"/>
    <n v="0"/>
    <n v="0"/>
  </r>
  <r>
    <s v="AIG"/>
    <n v="1674"/>
    <d v="2017-06-14T00:00:00"/>
    <x v="5"/>
    <n v="2017"/>
    <x v="1"/>
    <n v="0"/>
    <n v="0"/>
    <n v="0"/>
    <n v="0"/>
    <n v="0"/>
    <n v="0"/>
  </r>
  <r>
    <s v="AIG"/>
    <n v="1771"/>
    <d v="2017-06-16T00:00:00"/>
    <x v="5"/>
    <n v="2017"/>
    <x v="1"/>
    <n v="0"/>
    <n v="0"/>
    <n v="0"/>
    <n v="0"/>
    <n v="0"/>
    <n v="0"/>
  </r>
  <r>
    <s v="AIG"/>
    <n v="2046"/>
    <d v="2017-06-29T00:00:00"/>
    <x v="5"/>
    <n v="2017"/>
    <x v="1"/>
    <n v="0"/>
    <n v="6000"/>
    <n v="6000"/>
    <n v="5000"/>
    <n v="0"/>
    <n v="1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 pivot1" cacheId="0" dataOnRows="1" applyNumberFormats="0" applyBorderFormats="0" applyFontFormats="0" applyPatternFormats="0" applyAlignmentFormats="0" applyWidthHeightFormats="1" dataCaption="Valori" grandTotalCaption="Totale" updatedVersion="5" minRefreshableVersion="3" useAutoFormatting="1" itemPrintTitles="1" createdVersion="6" indent="0" outline="1" outlineData="1" multipleFieldFilters="0" rowHeaderCaption=" " colHeaderCaption="Anno di Polizza">
  <location ref="A3:H35" firstHeaderRow="1" firstDataRow="2" firstDataCol="1"/>
  <pivotFields count="12">
    <pivotField subtotalTop="0" showAll="0"/>
    <pivotField dataField="1" subtotalTop="0" showAll="0"/>
    <pivotField numFmtId="14" subtotalTop="0" showAll="0"/>
    <pivotField axis="axisCol" subtotalTop="0" showAll="0">
      <items count="7">
        <item x="0"/>
        <item x="1"/>
        <item x="2"/>
        <item x="3"/>
        <item x="4"/>
        <item x="5"/>
        <item t="default"/>
      </items>
    </pivotField>
    <pivotField subtotalTop="0" showAll="0"/>
    <pivotField axis="axisRow" subtotalTop="0" showAll="0">
      <items count="4">
        <item x="2"/>
        <item x="1"/>
        <item x="0"/>
        <item t="default"/>
      </items>
    </pivotField>
    <pivotField dataField="1" numFmtId="164" subtotalTop="0" showAll="0"/>
    <pivotField dataField="1" numFmtId="164" subtotalTop="0" showAll="0"/>
    <pivotField dataField="1" numFmtId="164" subtotalTop="0" showAll="0"/>
    <pivotField dataField="1" numFmtId="164" subtotalTop="0" showAll="0"/>
    <pivotField dataField="1" numFmtId="164" subtotalTop="0" showAll="0"/>
    <pivotField dataField="1" numFmtId="164" subtotalTop="0" showAll="0"/>
  </pivotFields>
  <rowFields count="2">
    <field x="5"/>
    <field x="-2"/>
  </rowFields>
  <rowItems count="31">
    <i>
      <x/>
    </i>
    <i r="1">
      <x/>
    </i>
    <i r="1" i="1">
      <x v="1"/>
    </i>
    <i r="1" i="2">
      <x v="2"/>
    </i>
    <i r="1" i="3">
      <x v="3"/>
    </i>
    <i r="1" i="4">
      <x v="4"/>
    </i>
    <i r="1" i="5">
      <x v="5"/>
    </i>
    <i r="1" i="6">
      <x v="6"/>
    </i>
    <i>
      <x v="1"/>
    </i>
    <i r="1">
      <x/>
    </i>
    <i r="1" i="1">
      <x v="1"/>
    </i>
    <i r="1" i="2">
      <x v="2"/>
    </i>
    <i r="1" i="3">
      <x v="3"/>
    </i>
    <i r="1" i="4">
      <x v="4"/>
    </i>
    <i r="1" i="5">
      <x v="5"/>
    </i>
    <i r="1" i="6">
      <x v="6"/>
    </i>
    <i>
      <x v="2"/>
    </i>
    <i r="1">
      <x/>
    </i>
    <i r="1" i="1">
      <x v="1"/>
    </i>
    <i r="1" i="2">
      <x v="2"/>
    </i>
    <i r="1" i="3">
      <x v="3"/>
    </i>
    <i r="1" i="4">
      <x v="4"/>
    </i>
    <i r="1" i="5">
      <x v="5"/>
    </i>
    <i r="1" i="6">
      <x v="6"/>
    </i>
    <i t="grand">
      <x/>
    </i>
    <i t="grand" i="1">
      <x/>
    </i>
    <i t="grand" i="2">
      <x/>
    </i>
    <i t="grand" i="3">
      <x/>
    </i>
    <i t="grand" i="4">
      <x/>
    </i>
    <i t="grand" i="5">
      <x/>
    </i>
    <i t="grand" i="6">
      <x/>
    </i>
  </rowItems>
  <colFields count="1">
    <field x="3"/>
  </colFields>
  <colItems count="7">
    <i>
      <x/>
    </i>
    <i>
      <x v="1"/>
    </i>
    <i>
      <x v="2"/>
    </i>
    <i>
      <x v="3"/>
    </i>
    <i>
      <x v="4"/>
    </i>
    <i>
      <x v="5"/>
    </i>
    <i t="grand">
      <x/>
    </i>
  </colItems>
  <dataFields count="7">
    <dataField name="Numero Eventi" fld="1" subtotal="count" baseField="5" baseItem="0" numFmtId="3"/>
    <dataField name="Importi Liquidati" fld="6" baseField="5" baseItem="0" numFmtId="165"/>
    <dataField name="Importi Riservati" fld="7" baseField="5" baseItem="0" numFmtId="165"/>
    <dataField name="Valore sinistro" fld="8" baseField="5" baseItem="0" numFmtId="165"/>
    <dataField name="Franchigia" fld="9" baseField="5" baseItem="0" numFmtId="165"/>
    <dataField name="Costi gestionali (SIR)" fld="10" baseField="5" baseItem="0" numFmtId="165"/>
    <dataField name="Residuo Assicuratore" fld="11" baseField="5" baseItem="0" numFmtId="165"/>
  </dataFields>
  <formats count="2">
    <format dxfId="1">
      <pivotArea dataOnly="0" labelOnly="1" fieldPosition="0">
        <references count="1">
          <reference field="3"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workbookViewId="0">
      <selection activeCell="E24" sqref="E24"/>
    </sheetView>
  </sheetViews>
  <sheetFormatPr defaultColWidth="8.85546875" defaultRowHeight="12.75" x14ac:dyDescent="0.2"/>
  <cols>
    <col min="1" max="1" width="20.28515625" customWidth="1"/>
    <col min="2" max="2" width="13.7109375" customWidth="1"/>
    <col min="3" max="3" width="19.42578125" customWidth="1"/>
    <col min="4" max="5" width="19.42578125" style="15" customWidth="1"/>
    <col min="6" max="6" width="19.42578125" customWidth="1"/>
    <col min="7" max="8" width="19.42578125" style="24" customWidth="1"/>
    <col min="9" max="12" width="19.42578125" style="5" customWidth="1"/>
    <col min="13" max="13" width="24.7109375" customWidth="1"/>
  </cols>
  <sheetData>
    <row r="1" spans="1:13" x14ac:dyDescent="0.2">
      <c r="A1" s="27" t="s">
        <v>34</v>
      </c>
      <c r="B1" s="28">
        <v>5000</v>
      </c>
      <c r="E1" s="27"/>
      <c r="F1" s="28"/>
    </row>
    <row r="2" spans="1:13" x14ac:dyDescent="0.2">
      <c r="A2" s="27" t="s">
        <v>35</v>
      </c>
      <c r="B2" s="29" t="s">
        <v>36</v>
      </c>
      <c r="E2" s="27"/>
      <c r="F2" s="29"/>
      <c r="H2" s="44" t="s">
        <v>23</v>
      </c>
    </row>
    <row r="3" spans="1:13" x14ac:dyDescent="0.2">
      <c r="A3" s="27" t="s">
        <v>30</v>
      </c>
      <c r="B3" s="28">
        <v>100</v>
      </c>
      <c r="E3" s="27"/>
      <c r="F3" s="28"/>
    </row>
    <row r="4" spans="1:13" x14ac:dyDescent="0.2">
      <c r="A4" s="1" t="s">
        <v>5</v>
      </c>
      <c r="B4" s="1" t="s">
        <v>0</v>
      </c>
      <c r="C4" s="2" t="s">
        <v>1</v>
      </c>
      <c r="D4" s="12" t="s">
        <v>29</v>
      </c>
      <c r="E4" s="12" t="s">
        <v>24</v>
      </c>
      <c r="F4" s="3" t="s">
        <v>2</v>
      </c>
      <c r="G4" s="16" t="s">
        <v>3</v>
      </c>
      <c r="H4" s="16" t="s">
        <v>4</v>
      </c>
      <c r="I4" s="25" t="s">
        <v>25</v>
      </c>
      <c r="J4" s="25" t="s">
        <v>32</v>
      </c>
      <c r="K4" s="25" t="s">
        <v>30</v>
      </c>
      <c r="L4" s="25" t="s">
        <v>33</v>
      </c>
      <c r="M4" s="6"/>
    </row>
    <row r="5" spans="1:13" x14ac:dyDescent="0.2">
      <c r="A5" s="6" t="s">
        <v>22</v>
      </c>
      <c r="B5" s="8">
        <v>201203265</v>
      </c>
      <c r="C5" s="4">
        <v>41052</v>
      </c>
      <c r="D5" s="13">
        <v>1</v>
      </c>
      <c r="E5" s="13">
        <f t="shared" ref="E5:E36" si="0">YEAR(C5)</f>
        <v>2012</v>
      </c>
      <c r="F5" s="26" t="s">
        <v>26</v>
      </c>
      <c r="G5" s="17">
        <v>0</v>
      </c>
      <c r="H5" s="18">
        <v>0</v>
      </c>
      <c r="I5" s="18">
        <f t="shared" ref="I5:I36" si="1">G5+H5</f>
        <v>0</v>
      </c>
      <c r="J5" s="18">
        <f>IF(I5&lt;=$B$1,I5,$B$1)</f>
        <v>0</v>
      </c>
      <c r="K5" s="18">
        <f t="shared" ref="K5:K68" si="2">IF(I5&lt;=$B$1,IF($B$2="Si",$B$3,IF($B$2="No",0)),0)</f>
        <v>0</v>
      </c>
      <c r="L5" s="18">
        <f>I5-J5</f>
        <v>0</v>
      </c>
      <c r="M5" s="6"/>
    </row>
    <row r="6" spans="1:13" x14ac:dyDescent="0.2">
      <c r="A6" s="6" t="s">
        <v>22</v>
      </c>
      <c r="B6" s="8">
        <v>201204973</v>
      </c>
      <c r="C6" s="4">
        <v>41072</v>
      </c>
      <c r="D6" s="13">
        <v>1</v>
      </c>
      <c r="E6" s="13">
        <f t="shared" si="0"/>
        <v>2012</v>
      </c>
      <c r="F6" s="26" t="s">
        <v>26</v>
      </c>
      <c r="G6" s="17">
        <v>0</v>
      </c>
      <c r="H6" s="18">
        <v>0</v>
      </c>
      <c r="I6" s="18">
        <f t="shared" si="1"/>
        <v>0</v>
      </c>
      <c r="J6" s="18">
        <f t="shared" ref="J6:J69" si="3">IF(I6&lt;=$B$1,I6,$B$1)</f>
        <v>0</v>
      </c>
      <c r="K6" s="18">
        <f t="shared" si="2"/>
        <v>0</v>
      </c>
      <c r="L6" s="18">
        <f t="shared" ref="L6:L69" si="4">I6-J6</f>
        <v>0</v>
      </c>
      <c r="M6" s="6"/>
    </row>
    <row r="7" spans="1:13" x14ac:dyDescent="0.2">
      <c r="A7" s="6" t="s">
        <v>22</v>
      </c>
      <c r="B7" s="8">
        <v>201203771</v>
      </c>
      <c r="C7" s="4">
        <v>41072</v>
      </c>
      <c r="D7" s="13">
        <v>1</v>
      </c>
      <c r="E7" s="13">
        <f t="shared" si="0"/>
        <v>2012</v>
      </c>
      <c r="F7" s="26" t="s">
        <v>27</v>
      </c>
      <c r="G7" s="17">
        <v>0</v>
      </c>
      <c r="H7" s="18">
        <v>8000</v>
      </c>
      <c r="I7" s="18">
        <f t="shared" si="1"/>
        <v>8000</v>
      </c>
      <c r="J7" s="18">
        <f t="shared" si="3"/>
        <v>5000</v>
      </c>
      <c r="K7" s="18">
        <f t="shared" si="2"/>
        <v>0</v>
      </c>
      <c r="L7" s="18">
        <f t="shared" si="4"/>
        <v>3000</v>
      </c>
      <c r="M7" s="6"/>
    </row>
    <row r="8" spans="1:13" x14ac:dyDescent="0.2">
      <c r="A8" s="6" t="s">
        <v>22</v>
      </c>
      <c r="B8" s="8">
        <v>201205596</v>
      </c>
      <c r="C8" s="4">
        <v>41125</v>
      </c>
      <c r="D8" s="13">
        <v>1</v>
      </c>
      <c r="E8" s="13">
        <f t="shared" si="0"/>
        <v>2012</v>
      </c>
      <c r="F8" s="26" t="s">
        <v>28</v>
      </c>
      <c r="G8" s="17">
        <v>2137</v>
      </c>
      <c r="H8" s="18">
        <v>0</v>
      </c>
      <c r="I8" s="18">
        <f t="shared" si="1"/>
        <v>2137</v>
      </c>
      <c r="J8" s="18">
        <f t="shared" si="3"/>
        <v>2137</v>
      </c>
      <c r="K8" s="18">
        <f t="shared" si="2"/>
        <v>0</v>
      </c>
      <c r="L8" s="18">
        <f t="shared" si="4"/>
        <v>0</v>
      </c>
      <c r="M8" s="6"/>
    </row>
    <row r="9" spans="1:13" x14ac:dyDescent="0.2">
      <c r="A9" s="6" t="s">
        <v>22</v>
      </c>
      <c r="B9" s="8">
        <v>201205757</v>
      </c>
      <c r="C9" s="4">
        <v>41128</v>
      </c>
      <c r="D9" s="13">
        <v>1</v>
      </c>
      <c r="E9" s="13">
        <f t="shared" si="0"/>
        <v>2012</v>
      </c>
      <c r="F9" s="26" t="s">
        <v>26</v>
      </c>
      <c r="G9" s="17">
        <v>0</v>
      </c>
      <c r="H9" s="18">
        <v>0</v>
      </c>
      <c r="I9" s="18">
        <f t="shared" si="1"/>
        <v>0</v>
      </c>
      <c r="J9" s="18">
        <f t="shared" si="3"/>
        <v>0</v>
      </c>
      <c r="K9" s="18">
        <f t="shared" si="2"/>
        <v>0</v>
      </c>
      <c r="L9" s="18">
        <f t="shared" si="4"/>
        <v>0</v>
      </c>
      <c r="M9" s="6"/>
    </row>
    <row r="10" spans="1:13" x14ac:dyDescent="0.2">
      <c r="A10" s="6" t="s">
        <v>22</v>
      </c>
      <c r="B10" s="8">
        <v>201206504</v>
      </c>
      <c r="C10" s="4">
        <v>41178</v>
      </c>
      <c r="D10" s="13">
        <v>1</v>
      </c>
      <c r="E10" s="13">
        <f t="shared" si="0"/>
        <v>2012</v>
      </c>
      <c r="F10" s="26" t="s">
        <v>28</v>
      </c>
      <c r="G10" s="19">
        <v>7214.38</v>
      </c>
      <c r="H10" s="18">
        <v>0</v>
      </c>
      <c r="I10" s="18">
        <f t="shared" si="1"/>
        <v>7214.38</v>
      </c>
      <c r="J10" s="18">
        <f t="shared" si="3"/>
        <v>5000</v>
      </c>
      <c r="K10" s="18">
        <f t="shared" si="2"/>
        <v>0</v>
      </c>
      <c r="L10" s="18">
        <f t="shared" si="4"/>
        <v>2214.38</v>
      </c>
      <c r="M10" s="6"/>
    </row>
    <row r="11" spans="1:13" x14ac:dyDescent="0.2">
      <c r="A11" s="6" t="s">
        <v>22</v>
      </c>
      <c r="B11" s="8">
        <v>201307303</v>
      </c>
      <c r="C11" s="4">
        <v>41186</v>
      </c>
      <c r="D11" s="13">
        <v>1</v>
      </c>
      <c r="E11" s="13">
        <f t="shared" si="0"/>
        <v>2012</v>
      </c>
      <c r="F11" s="26" t="s">
        <v>26</v>
      </c>
      <c r="G11" s="17">
        <v>0</v>
      </c>
      <c r="H11" s="18">
        <v>0</v>
      </c>
      <c r="I11" s="18">
        <f t="shared" si="1"/>
        <v>0</v>
      </c>
      <c r="J11" s="18">
        <f t="shared" si="3"/>
        <v>0</v>
      </c>
      <c r="K11" s="18">
        <f t="shared" si="2"/>
        <v>0</v>
      </c>
      <c r="L11" s="18">
        <f t="shared" si="4"/>
        <v>0</v>
      </c>
      <c r="M11" s="6"/>
    </row>
    <row r="12" spans="1:13" x14ac:dyDescent="0.2">
      <c r="A12" s="6" t="s">
        <v>22</v>
      </c>
      <c r="B12" s="8">
        <v>201206505</v>
      </c>
      <c r="C12" s="4">
        <v>41197</v>
      </c>
      <c r="D12" s="13">
        <v>1</v>
      </c>
      <c r="E12" s="13">
        <f t="shared" si="0"/>
        <v>2012</v>
      </c>
      <c r="F12" s="26" t="s">
        <v>26</v>
      </c>
      <c r="G12" s="17">
        <v>0</v>
      </c>
      <c r="H12" s="18">
        <v>0</v>
      </c>
      <c r="I12" s="18">
        <f t="shared" si="1"/>
        <v>0</v>
      </c>
      <c r="J12" s="18">
        <f t="shared" si="3"/>
        <v>0</v>
      </c>
      <c r="K12" s="18">
        <f t="shared" si="2"/>
        <v>0</v>
      </c>
      <c r="L12" s="18">
        <f t="shared" si="4"/>
        <v>0</v>
      </c>
      <c r="M12" s="6"/>
    </row>
    <row r="13" spans="1:13" x14ac:dyDescent="0.2">
      <c r="A13" s="6" t="s">
        <v>22</v>
      </c>
      <c r="B13" s="8">
        <v>201303443</v>
      </c>
      <c r="C13" s="4">
        <v>41255</v>
      </c>
      <c r="D13" s="13">
        <v>1</v>
      </c>
      <c r="E13" s="13">
        <f t="shared" si="0"/>
        <v>2012</v>
      </c>
      <c r="F13" s="26" t="s">
        <v>28</v>
      </c>
      <c r="G13" s="17">
        <v>15000</v>
      </c>
      <c r="H13" s="18">
        <v>0</v>
      </c>
      <c r="I13" s="18">
        <f t="shared" si="1"/>
        <v>15000</v>
      </c>
      <c r="J13" s="18">
        <f t="shared" si="3"/>
        <v>5000</v>
      </c>
      <c r="K13" s="18">
        <f t="shared" si="2"/>
        <v>0</v>
      </c>
      <c r="L13" s="18">
        <f t="shared" si="4"/>
        <v>10000</v>
      </c>
      <c r="M13" s="6"/>
    </row>
    <row r="14" spans="1:13" x14ac:dyDescent="0.2">
      <c r="A14" s="6" t="s">
        <v>22</v>
      </c>
      <c r="B14" s="8">
        <v>201305460</v>
      </c>
      <c r="C14" s="4">
        <v>41262</v>
      </c>
      <c r="D14" s="13">
        <v>1</v>
      </c>
      <c r="E14" s="13">
        <f t="shared" si="0"/>
        <v>2012</v>
      </c>
      <c r="F14" s="26" t="s">
        <v>26</v>
      </c>
      <c r="G14" s="17">
        <v>0</v>
      </c>
      <c r="H14" s="18">
        <v>0</v>
      </c>
      <c r="I14" s="18">
        <f t="shared" si="1"/>
        <v>0</v>
      </c>
      <c r="J14" s="18">
        <f t="shared" si="3"/>
        <v>0</v>
      </c>
      <c r="K14" s="18">
        <f t="shared" si="2"/>
        <v>0</v>
      </c>
      <c r="L14" s="18">
        <f t="shared" si="4"/>
        <v>0</v>
      </c>
      <c r="M14" s="6"/>
    </row>
    <row r="15" spans="1:13" x14ac:dyDescent="0.2">
      <c r="A15" s="6" t="s">
        <v>22</v>
      </c>
      <c r="B15" s="8">
        <v>201309060</v>
      </c>
      <c r="C15" s="4">
        <v>41342</v>
      </c>
      <c r="D15" s="13">
        <v>1</v>
      </c>
      <c r="E15" s="13">
        <f t="shared" si="0"/>
        <v>2013</v>
      </c>
      <c r="F15" s="26" t="s">
        <v>26</v>
      </c>
      <c r="G15" s="17">
        <v>0</v>
      </c>
      <c r="H15" s="18">
        <v>0</v>
      </c>
      <c r="I15" s="18">
        <f t="shared" si="1"/>
        <v>0</v>
      </c>
      <c r="J15" s="18">
        <f t="shared" si="3"/>
        <v>0</v>
      </c>
      <c r="K15" s="18">
        <f t="shared" si="2"/>
        <v>0</v>
      </c>
      <c r="L15" s="18">
        <f t="shared" si="4"/>
        <v>0</v>
      </c>
      <c r="M15" s="6"/>
    </row>
    <row r="16" spans="1:13" x14ac:dyDescent="0.2">
      <c r="A16" s="6" t="s">
        <v>22</v>
      </c>
      <c r="B16" s="8">
        <v>201316272</v>
      </c>
      <c r="C16" s="4">
        <v>41425</v>
      </c>
      <c r="D16" s="13">
        <v>2</v>
      </c>
      <c r="E16" s="13">
        <f t="shared" si="0"/>
        <v>2013</v>
      </c>
      <c r="F16" s="26" t="s">
        <v>26</v>
      </c>
      <c r="G16" s="17">
        <v>0</v>
      </c>
      <c r="H16" s="18">
        <v>0</v>
      </c>
      <c r="I16" s="18">
        <f t="shared" si="1"/>
        <v>0</v>
      </c>
      <c r="J16" s="18">
        <f t="shared" si="3"/>
        <v>0</v>
      </c>
      <c r="K16" s="18">
        <f t="shared" si="2"/>
        <v>0</v>
      </c>
      <c r="L16" s="18">
        <f t="shared" si="4"/>
        <v>0</v>
      </c>
      <c r="M16" s="6"/>
    </row>
    <row r="17" spans="1:13" x14ac:dyDescent="0.2">
      <c r="A17" s="6" t="s">
        <v>22</v>
      </c>
      <c r="B17" s="8">
        <v>201316273</v>
      </c>
      <c r="C17" s="4">
        <v>41436</v>
      </c>
      <c r="D17" s="13">
        <v>2</v>
      </c>
      <c r="E17" s="13">
        <f t="shared" si="0"/>
        <v>2013</v>
      </c>
      <c r="F17" s="26" t="s">
        <v>27</v>
      </c>
      <c r="G17" s="17">
        <v>0</v>
      </c>
      <c r="H17" s="18">
        <v>3320.5</v>
      </c>
      <c r="I17" s="18">
        <f t="shared" si="1"/>
        <v>3320.5</v>
      </c>
      <c r="J17" s="18">
        <f t="shared" si="3"/>
        <v>3320.5</v>
      </c>
      <c r="K17" s="18">
        <f t="shared" si="2"/>
        <v>0</v>
      </c>
      <c r="L17" s="18">
        <f t="shared" si="4"/>
        <v>0</v>
      </c>
      <c r="M17" s="6"/>
    </row>
    <row r="18" spans="1:13" x14ac:dyDescent="0.2">
      <c r="A18" s="6" t="s">
        <v>22</v>
      </c>
      <c r="B18" s="8">
        <v>201316274</v>
      </c>
      <c r="C18" s="4">
        <v>41438</v>
      </c>
      <c r="D18" s="13">
        <v>2</v>
      </c>
      <c r="E18" s="13">
        <f t="shared" si="0"/>
        <v>2013</v>
      </c>
      <c r="F18" s="26" t="s">
        <v>26</v>
      </c>
      <c r="G18" s="17">
        <v>0</v>
      </c>
      <c r="H18" s="18">
        <v>0</v>
      </c>
      <c r="I18" s="18">
        <f t="shared" si="1"/>
        <v>0</v>
      </c>
      <c r="J18" s="18">
        <f t="shared" si="3"/>
        <v>0</v>
      </c>
      <c r="K18" s="18">
        <f t="shared" si="2"/>
        <v>0</v>
      </c>
      <c r="L18" s="18">
        <f t="shared" si="4"/>
        <v>0</v>
      </c>
      <c r="M18" s="6"/>
    </row>
    <row r="19" spans="1:13" x14ac:dyDescent="0.2">
      <c r="A19" s="6" t="s">
        <v>22</v>
      </c>
      <c r="B19" s="8">
        <v>201315133</v>
      </c>
      <c r="C19" s="4">
        <v>41443</v>
      </c>
      <c r="D19" s="13">
        <v>2</v>
      </c>
      <c r="E19" s="13">
        <f t="shared" si="0"/>
        <v>2013</v>
      </c>
      <c r="F19" s="26" t="s">
        <v>26</v>
      </c>
      <c r="G19" s="17">
        <v>0</v>
      </c>
      <c r="H19" s="18">
        <v>0</v>
      </c>
      <c r="I19" s="18">
        <f t="shared" si="1"/>
        <v>0</v>
      </c>
      <c r="J19" s="18">
        <f t="shared" si="3"/>
        <v>0</v>
      </c>
      <c r="K19" s="18">
        <f t="shared" si="2"/>
        <v>0</v>
      </c>
      <c r="L19" s="18">
        <f t="shared" si="4"/>
        <v>0</v>
      </c>
      <c r="M19" s="6"/>
    </row>
    <row r="20" spans="1:13" x14ac:dyDescent="0.2">
      <c r="A20" s="6" t="s">
        <v>22</v>
      </c>
      <c r="B20" s="8">
        <v>201402808</v>
      </c>
      <c r="C20" s="4">
        <v>41489</v>
      </c>
      <c r="D20" s="13">
        <v>2</v>
      </c>
      <c r="E20" s="13">
        <f t="shared" si="0"/>
        <v>2013</v>
      </c>
      <c r="F20" s="26" t="s">
        <v>28</v>
      </c>
      <c r="G20" s="21">
        <v>2400</v>
      </c>
      <c r="H20" s="18">
        <v>0</v>
      </c>
      <c r="I20" s="18">
        <f t="shared" si="1"/>
        <v>2400</v>
      </c>
      <c r="J20" s="18">
        <f t="shared" si="3"/>
        <v>2400</v>
      </c>
      <c r="K20" s="18">
        <f t="shared" si="2"/>
        <v>0</v>
      </c>
      <c r="L20" s="18">
        <f t="shared" si="4"/>
        <v>0</v>
      </c>
      <c r="M20" s="6"/>
    </row>
    <row r="21" spans="1:13" x14ac:dyDescent="0.2">
      <c r="A21" s="6" t="s">
        <v>22</v>
      </c>
      <c r="B21" s="8">
        <v>201320309</v>
      </c>
      <c r="C21" s="4">
        <v>41569</v>
      </c>
      <c r="D21" s="13">
        <v>2</v>
      </c>
      <c r="E21" s="13">
        <f t="shared" si="0"/>
        <v>2013</v>
      </c>
      <c r="F21" s="26" t="s">
        <v>26</v>
      </c>
      <c r="G21" s="17">
        <v>0</v>
      </c>
      <c r="H21" s="18">
        <v>0</v>
      </c>
      <c r="I21" s="18">
        <f t="shared" si="1"/>
        <v>0</v>
      </c>
      <c r="J21" s="18">
        <f t="shared" si="3"/>
        <v>0</v>
      </c>
      <c r="K21" s="18">
        <f t="shared" si="2"/>
        <v>0</v>
      </c>
      <c r="L21" s="18">
        <f t="shared" si="4"/>
        <v>0</v>
      </c>
      <c r="M21" s="6"/>
    </row>
    <row r="22" spans="1:13" x14ac:dyDescent="0.2">
      <c r="A22" s="6" t="s">
        <v>22</v>
      </c>
      <c r="B22" s="8">
        <v>201320316</v>
      </c>
      <c r="C22" s="4">
        <v>41571</v>
      </c>
      <c r="D22" s="13">
        <v>2</v>
      </c>
      <c r="E22" s="13">
        <f t="shared" si="0"/>
        <v>2013</v>
      </c>
      <c r="F22" s="26" t="s">
        <v>26</v>
      </c>
      <c r="G22" s="17">
        <v>0</v>
      </c>
      <c r="H22" s="18">
        <v>0</v>
      </c>
      <c r="I22" s="18">
        <f t="shared" si="1"/>
        <v>0</v>
      </c>
      <c r="J22" s="18">
        <f t="shared" si="3"/>
        <v>0</v>
      </c>
      <c r="K22" s="18">
        <f t="shared" si="2"/>
        <v>0</v>
      </c>
      <c r="L22" s="18">
        <f t="shared" si="4"/>
        <v>0</v>
      </c>
      <c r="M22" s="6"/>
    </row>
    <row r="23" spans="1:13" x14ac:dyDescent="0.2">
      <c r="A23" s="6" t="s">
        <v>22</v>
      </c>
      <c r="B23" s="8">
        <v>201400880</v>
      </c>
      <c r="C23" s="4">
        <v>41576</v>
      </c>
      <c r="D23" s="13">
        <v>2</v>
      </c>
      <c r="E23" s="13">
        <f t="shared" si="0"/>
        <v>2013</v>
      </c>
      <c r="F23" s="26" t="s">
        <v>26</v>
      </c>
      <c r="G23" s="17">
        <v>0</v>
      </c>
      <c r="H23" s="18">
        <v>0</v>
      </c>
      <c r="I23" s="18">
        <f t="shared" si="1"/>
        <v>0</v>
      </c>
      <c r="J23" s="18">
        <f t="shared" si="3"/>
        <v>0</v>
      </c>
      <c r="K23" s="18">
        <f t="shared" si="2"/>
        <v>0</v>
      </c>
      <c r="L23" s="18">
        <f t="shared" si="4"/>
        <v>0</v>
      </c>
      <c r="M23" s="6"/>
    </row>
    <row r="24" spans="1:13" x14ac:dyDescent="0.2">
      <c r="A24" s="6" t="s">
        <v>22</v>
      </c>
      <c r="B24" s="8">
        <v>201400881</v>
      </c>
      <c r="C24" s="4">
        <v>41589</v>
      </c>
      <c r="D24" s="13">
        <v>2</v>
      </c>
      <c r="E24" s="13">
        <f t="shared" si="0"/>
        <v>2013</v>
      </c>
      <c r="F24" s="26" t="s">
        <v>26</v>
      </c>
      <c r="G24" s="17">
        <v>0</v>
      </c>
      <c r="H24" s="18">
        <v>0</v>
      </c>
      <c r="I24" s="18">
        <f t="shared" si="1"/>
        <v>0</v>
      </c>
      <c r="J24" s="18">
        <f t="shared" si="3"/>
        <v>0</v>
      </c>
      <c r="K24" s="18">
        <f t="shared" si="2"/>
        <v>0</v>
      </c>
      <c r="L24" s="18">
        <f t="shared" si="4"/>
        <v>0</v>
      </c>
      <c r="M24" s="6"/>
    </row>
    <row r="25" spans="1:13" x14ac:dyDescent="0.2">
      <c r="A25" s="6" t="s">
        <v>22</v>
      </c>
      <c r="B25" s="8">
        <v>201402807</v>
      </c>
      <c r="C25" s="4">
        <v>41589</v>
      </c>
      <c r="D25" s="13">
        <v>2</v>
      </c>
      <c r="E25" s="13">
        <f t="shared" si="0"/>
        <v>2013</v>
      </c>
      <c r="F25" s="26" t="s">
        <v>26</v>
      </c>
      <c r="G25" s="17">
        <v>0</v>
      </c>
      <c r="H25" s="18">
        <v>0</v>
      </c>
      <c r="I25" s="18">
        <f t="shared" si="1"/>
        <v>0</v>
      </c>
      <c r="J25" s="18">
        <f t="shared" si="3"/>
        <v>0</v>
      </c>
      <c r="K25" s="18">
        <f t="shared" si="2"/>
        <v>0</v>
      </c>
      <c r="L25" s="18">
        <f t="shared" si="4"/>
        <v>0</v>
      </c>
      <c r="M25" s="6"/>
    </row>
    <row r="26" spans="1:13" x14ac:dyDescent="0.2">
      <c r="A26" s="6" t="s">
        <v>22</v>
      </c>
      <c r="B26" s="8">
        <v>201404705</v>
      </c>
      <c r="C26" s="4">
        <v>41674</v>
      </c>
      <c r="D26" s="13">
        <v>2</v>
      </c>
      <c r="E26" s="13">
        <f t="shared" si="0"/>
        <v>2014</v>
      </c>
      <c r="F26" s="26" t="s">
        <v>26</v>
      </c>
      <c r="G26" s="17">
        <v>0</v>
      </c>
      <c r="H26" s="18">
        <v>0</v>
      </c>
      <c r="I26" s="18">
        <f t="shared" si="1"/>
        <v>0</v>
      </c>
      <c r="J26" s="18">
        <f t="shared" si="3"/>
        <v>0</v>
      </c>
      <c r="K26" s="18">
        <f t="shared" si="2"/>
        <v>0</v>
      </c>
      <c r="L26" s="18">
        <f t="shared" si="4"/>
        <v>0</v>
      </c>
      <c r="M26" s="6"/>
    </row>
    <row r="27" spans="1:13" x14ac:dyDescent="0.2">
      <c r="A27" s="6" t="s">
        <v>22</v>
      </c>
      <c r="B27" s="8">
        <v>201409060</v>
      </c>
      <c r="C27" s="4">
        <v>41712</v>
      </c>
      <c r="D27" s="13">
        <v>2</v>
      </c>
      <c r="E27" s="13">
        <f t="shared" si="0"/>
        <v>2014</v>
      </c>
      <c r="F27" s="26" t="s">
        <v>26</v>
      </c>
      <c r="G27" s="17">
        <v>0</v>
      </c>
      <c r="H27" s="18">
        <v>0</v>
      </c>
      <c r="I27" s="18">
        <f t="shared" si="1"/>
        <v>0</v>
      </c>
      <c r="J27" s="18">
        <f t="shared" si="3"/>
        <v>0</v>
      </c>
      <c r="K27" s="18">
        <f t="shared" si="2"/>
        <v>0</v>
      </c>
      <c r="L27" s="18">
        <f t="shared" si="4"/>
        <v>0</v>
      </c>
      <c r="M27" s="6"/>
    </row>
    <row r="28" spans="1:13" x14ac:dyDescent="0.2">
      <c r="A28" s="6" t="s">
        <v>22</v>
      </c>
      <c r="B28" s="8">
        <v>201409071</v>
      </c>
      <c r="C28" s="4">
        <v>41716</v>
      </c>
      <c r="D28" s="13">
        <v>2</v>
      </c>
      <c r="E28" s="13">
        <f t="shared" si="0"/>
        <v>2014</v>
      </c>
      <c r="F28" s="26" t="s">
        <v>26</v>
      </c>
      <c r="G28" s="17">
        <v>0</v>
      </c>
      <c r="H28" s="18">
        <v>0</v>
      </c>
      <c r="I28" s="18">
        <f t="shared" si="1"/>
        <v>0</v>
      </c>
      <c r="J28" s="18">
        <f t="shared" si="3"/>
        <v>0</v>
      </c>
      <c r="K28" s="18">
        <f t="shared" si="2"/>
        <v>0</v>
      </c>
      <c r="L28" s="18">
        <f t="shared" si="4"/>
        <v>0</v>
      </c>
      <c r="M28" s="6"/>
    </row>
    <row r="29" spans="1:13" x14ac:dyDescent="0.2">
      <c r="A29" s="6" t="s">
        <v>22</v>
      </c>
      <c r="B29" s="8">
        <v>201409051</v>
      </c>
      <c r="C29" s="4">
        <v>41718</v>
      </c>
      <c r="D29" s="13">
        <v>2</v>
      </c>
      <c r="E29" s="13">
        <f t="shared" si="0"/>
        <v>2014</v>
      </c>
      <c r="F29" s="26" t="s">
        <v>28</v>
      </c>
      <c r="G29" s="22">
        <v>3000</v>
      </c>
      <c r="H29" s="18">
        <v>0</v>
      </c>
      <c r="I29" s="18">
        <f t="shared" si="1"/>
        <v>3000</v>
      </c>
      <c r="J29" s="18">
        <f t="shared" si="3"/>
        <v>3000</v>
      </c>
      <c r="K29" s="18">
        <f t="shared" si="2"/>
        <v>0</v>
      </c>
      <c r="L29" s="18">
        <f t="shared" si="4"/>
        <v>0</v>
      </c>
      <c r="M29" s="6"/>
    </row>
    <row r="30" spans="1:13" x14ac:dyDescent="0.2">
      <c r="A30" s="6" t="s">
        <v>22</v>
      </c>
      <c r="B30" s="8">
        <v>201503350</v>
      </c>
      <c r="C30" s="4">
        <v>41762</v>
      </c>
      <c r="D30" s="13">
        <v>3</v>
      </c>
      <c r="E30" s="13">
        <f t="shared" si="0"/>
        <v>2014</v>
      </c>
      <c r="F30" s="26" t="s">
        <v>27</v>
      </c>
      <c r="G30" s="17">
        <v>0</v>
      </c>
      <c r="H30" s="18">
        <v>35020.5</v>
      </c>
      <c r="I30" s="18">
        <f t="shared" si="1"/>
        <v>35020.5</v>
      </c>
      <c r="J30" s="18">
        <f t="shared" si="3"/>
        <v>5000</v>
      </c>
      <c r="K30" s="18">
        <f t="shared" si="2"/>
        <v>0</v>
      </c>
      <c r="L30" s="18">
        <f t="shared" si="4"/>
        <v>30020.5</v>
      </c>
      <c r="M30" s="6"/>
    </row>
    <row r="31" spans="1:13" x14ac:dyDescent="0.2">
      <c r="A31" s="6" t="s">
        <v>22</v>
      </c>
      <c r="B31" s="8">
        <v>201409070</v>
      </c>
      <c r="C31" s="4">
        <v>41769</v>
      </c>
      <c r="D31" s="13">
        <v>3</v>
      </c>
      <c r="E31" s="13">
        <f t="shared" si="0"/>
        <v>2014</v>
      </c>
      <c r="F31" s="26" t="s">
        <v>28</v>
      </c>
      <c r="G31" s="20">
        <v>3900</v>
      </c>
      <c r="H31" s="18">
        <v>0</v>
      </c>
      <c r="I31" s="18">
        <f t="shared" si="1"/>
        <v>3900</v>
      </c>
      <c r="J31" s="18">
        <f t="shared" si="3"/>
        <v>3900</v>
      </c>
      <c r="K31" s="18">
        <f t="shared" si="2"/>
        <v>0</v>
      </c>
      <c r="L31" s="18">
        <f t="shared" si="4"/>
        <v>0</v>
      </c>
      <c r="M31" s="6"/>
    </row>
    <row r="32" spans="1:13" x14ac:dyDescent="0.2">
      <c r="A32" s="6" t="s">
        <v>22</v>
      </c>
      <c r="B32" s="8">
        <v>201515223</v>
      </c>
      <c r="C32" s="4">
        <v>41807</v>
      </c>
      <c r="D32" s="13">
        <v>3</v>
      </c>
      <c r="E32" s="13">
        <f t="shared" si="0"/>
        <v>2014</v>
      </c>
      <c r="F32" s="26" t="s">
        <v>27</v>
      </c>
      <c r="G32" s="17">
        <v>0</v>
      </c>
      <c r="H32" s="18">
        <v>10520.5</v>
      </c>
      <c r="I32" s="18">
        <f t="shared" si="1"/>
        <v>10520.5</v>
      </c>
      <c r="J32" s="18">
        <f t="shared" si="3"/>
        <v>5000</v>
      </c>
      <c r="K32" s="18">
        <f t="shared" si="2"/>
        <v>0</v>
      </c>
      <c r="L32" s="18">
        <f t="shared" si="4"/>
        <v>5520.5</v>
      </c>
      <c r="M32" s="6"/>
    </row>
    <row r="33" spans="1:13" x14ac:dyDescent="0.2">
      <c r="A33" s="6" t="s">
        <v>22</v>
      </c>
      <c r="B33" s="8">
        <v>201617023</v>
      </c>
      <c r="C33" s="4">
        <v>41908</v>
      </c>
      <c r="D33" s="13">
        <v>3</v>
      </c>
      <c r="E33" s="13">
        <f t="shared" si="0"/>
        <v>2014</v>
      </c>
      <c r="F33" s="26" t="s">
        <v>27</v>
      </c>
      <c r="G33" s="17">
        <v>0</v>
      </c>
      <c r="H33" s="18">
        <v>22.5</v>
      </c>
      <c r="I33" s="18">
        <f t="shared" si="1"/>
        <v>22.5</v>
      </c>
      <c r="J33" s="18">
        <f t="shared" si="3"/>
        <v>22.5</v>
      </c>
      <c r="K33" s="18">
        <f t="shared" si="2"/>
        <v>0</v>
      </c>
      <c r="L33" s="18">
        <f t="shared" si="4"/>
        <v>0</v>
      </c>
      <c r="M33" s="6"/>
    </row>
    <row r="34" spans="1:13" x14ac:dyDescent="0.2">
      <c r="A34" s="6" t="s">
        <v>22</v>
      </c>
      <c r="B34" s="8">
        <v>201604279</v>
      </c>
      <c r="C34" s="4">
        <v>41976</v>
      </c>
      <c r="D34" s="13">
        <v>3</v>
      </c>
      <c r="E34" s="13">
        <f t="shared" si="0"/>
        <v>2014</v>
      </c>
      <c r="F34" s="26" t="s">
        <v>27</v>
      </c>
      <c r="G34" s="17">
        <v>0</v>
      </c>
      <c r="H34" s="18">
        <v>10775</v>
      </c>
      <c r="I34" s="18">
        <f t="shared" si="1"/>
        <v>10775</v>
      </c>
      <c r="J34" s="18">
        <f t="shared" si="3"/>
        <v>5000</v>
      </c>
      <c r="K34" s="18">
        <f t="shared" si="2"/>
        <v>0</v>
      </c>
      <c r="L34" s="18">
        <f t="shared" si="4"/>
        <v>5775</v>
      </c>
      <c r="M34" s="6"/>
    </row>
    <row r="35" spans="1:13" x14ac:dyDescent="0.2">
      <c r="A35" s="6" t="s">
        <v>22</v>
      </c>
      <c r="B35" s="8">
        <v>201504953</v>
      </c>
      <c r="C35" s="4">
        <v>42041</v>
      </c>
      <c r="D35" s="13">
        <v>3</v>
      </c>
      <c r="E35" s="13">
        <f t="shared" si="0"/>
        <v>2015</v>
      </c>
      <c r="F35" s="26" t="s">
        <v>27</v>
      </c>
      <c r="G35" s="17">
        <v>0</v>
      </c>
      <c r="H35" s="18">
        <v>6800</v>
      </c>
      <c r="I35" s="18">
        <f t="shared" si="1"/>
        <v>6800</v>
      </c>
      <c r="J35" s="18">
        <f t="shared" si="3"/>
        <v>5000</v>
      </c>
      <c r="K35" s="18">
        <f t="shared" si="2"/>
        <v>0</v>
      </c>
      <c r="L35" s="18">
        <f t="shared" si="4"/>
        <v>1800</v>
      </c>
      <c r="M35" s="6"/>
    </row>
    <row r="36" spans="1:13" x14ac:dyDescent="0.2">
      <c r="A36" s="6" t="s">
        <v>22</v>
      </c>
      <c r="B36" s="8">
        <v>201512147</v>
      </c>
      <c r="C36" s="4">
        <v>42041</v>
      </c>
      <c r="D36" s="13">
        <v>3</v>
      </c>
      <c r="E36" s="13">
        <f t="shared" si="0"/>
        <v>2015</v>
      </c>
      <c r="F36" s="26" t="s">
        <v>27</v>
      </c>
      <c r="G36" s="17">
        <v>0</v>
      </c>
      <c r="H36" s="18">
        <v>38020.5</v>
      </c>
      <c r="I36" s="18">
        <f t="shared" si="1"/>
        <v>38020.5</v>
      </c>
      <c r="J36" s="18">
        <f t="shared" si="3"/>
        <v>5000</v>
      </c>
      <c r="K36" s="18">
        <f t="shared" si="2"/>
        <v>0</v>
      </c>
      <c r="L36" s="18">
        <f t="shared" si="4"/>
        <v>33020.5</v>
      </c>
      <c r="M36" s="6"/>
    </row>
    <row r="37" spans="1:13" x14ac:dyDescent="0.2">
      <c r="A37" s="6" t="s">
        <v>22</v>
      </c>
      <c r="B37" s="8">
        <v>201516282</v>
      </c>
      <c r="C37" s="4">
        <v>42041</v>
      </c>
      <c r="D37" s="13">
        <v>3</v>
      </c>
      <c r="E37" s="13">
        <f t="shared" ref="E37:E68" si="5">YEAR(C37)</f>
        <v>2015</v>
      </c>
      <c r="F37" s="26" t="s">
        <v>27</v>
      </c>
      <c r="G37" s="17">
        <v>0</v>
      </c>
      <c r="H37" s="18">
        <v>23000</v>
      </c>
      <c r="I37" s="18">
        <f t="shared" ref="I37:I68" si="6">G37+H37</f>
        <v>23000</v>
      </c>
      <c r="J37" s="18">
        <f t="shared" si="3"/>
        <v>5000</v>
      </c>
      <c r="K37" s="18">
        <f t="shared" si="2"/>
        <v>0</v>
      </c>
      <c r="L37" s="18">
        <f t="shared" si="4"/>
        <v>18000</v>
      </c>
      <c r="M37" s="6"/>
    </row>
    <row r="38" spans="1:13" x14ac:dyDescent="0.2">
      <c r="A38" s="6" t="s">
        <v>22</v>
      </c>
      <c r="B38" s="8">
        <v>201509949</v>
      </c>
      <c r="C38" s="4">
        <v>42051</v>
      </c>
      <c r="D38" s="13">
        <v>3</v>
      </c>
      <c r="E38" s="13">
        <f t="shared" si="5"/>
        <v>2015</v>
      </c>
      <c r="F38" s="26" t="s">
        <v>27</v>
      </c>
      <c r="G38" s="17">
        <v>0</v>
      </c>
      <c r="H38" s="18">
        <v>3000</v>
      </c>
      <c r="I38" s="18">
        <f t="shared" si="6"/>
        <v>3000</v>
      </c>
      <c r="J38" s="18">
        <f t="shared" si="3"/>
        <v>3000</v>
      </c>
      <c r="K38" s="18">
        <f t="shared" si="2"/>
        <v>0</v>
      </c>
      <c r="L38" s="18">
        <f t="shared" si="4"/>
        <v>0</v>
      </c>
      <c r="M38" s="6"/>
    </row>
    <row r="39" spans="1:13" x14ac:dyDescent="0.2">
      <c r="A39" s="6" t="s">
        <v>22</v>
      </c>
      <c r="B39" s="8">
        <v>201508256</v>
      </c>
      <c r="C39" s="4">
        <v>42064</v>
      </c>
      <c r="D39" s="13">
        <v>3</v>
      </c>
      <c r="E39" s="13">
        <f t="shared" si="5"/>
        <v>2015</v>
      </c>
      <c r="F39" s="26" t="s">
        <v>28</v>
      </c>
      <c r="G39" s="17">
        <v>5300</v>
      </c>
      <c r="H39" s="18">
        <v>0</v>
      </c>
      <c r="I39" s="18">
        <f t="shared" si="6"/>
        <v>5300</v>
      </c>
      <c r="J39" s="18">
        <f t="shared" si="3"/>
        <v>5000</v>
      </c>
      <c r="K39" s="18">
        <f t="shared" si="2"/>
        <v>0</v>
      </c>
      <c r="L39" s="18">
        <f t="shared" si="4"/>
        <v>300</v>
      </c>
      <c r="M39" s="6"/>
    </row>
    <row r="40" spans="1:13" x14ac:dyDescent="0.2">
      <c r="A40" s="6" t="s">
        <v>22</v>
      </c>
      <c r="B40" s="8">
        <v>201509856</v>
      </c>
      <c r="C40" s="4">
        <v>42068</v>
      </c>
      <c r="D40" s="13">
        <v>3</v>
      </c>
      <c r="E40" s="13">
        <f t="shared" si="5"/>
        <v>2015</v>
      </c>
      <c r="F40" s="26" t="s">
        <v>27</v>
      </c>
      <c r="G40" s="17">
        <v>0</v>
      </c>
      <c r="H40" s="18">
        <v>6000</v>
      </c>
      <c r="I40" s="18">
        <f t="shared" si="6"/>
        <v>6000</v>
      </c>
      <c r="J40" s="18">
        <f t="shared" si="3"/>
        <v>5000</v>
      </c>
      <c r="K40" s="18">
        <f t="shared" si="2"/>
        <v>0</v>
      </c>
      <c r="L40" s="18">
        <f t="shared" si="4"/>
        <v>1000</v>
      </c>
      <c r="M40" s="6"/>
    </row>
    <row r="41" spans="1:13" x14ac:dyDescent="0.2">
      <c r="A41" s="6" t="s">
        <v>22</v>
      </c>
      <c r="B41" s="8">
        <v>201505451</v>
      </c>
      <c r="C41" s="4">
        <v>42068</v>
      </c>
      <c r="D41" s="13">
        <v>3</v>
      </c>
      <c r="E41" s="13">
        <f t="shared" si="5"/>
        <v>2015</v>
      </c>
      <c r="F41" s="26" t="s">
        <v>27</v>
      </c>
      <c r="G41" s="17">
        <v>0</v>
      </c>
      <c r="H41" s="18">
        <v>5000</v>
      </c>
      <c r="I41" s="18">
        <f t="shared" si="6"/>
        <v>5000</v>
      </c>
      <c r="J41" s="18">
        <f t="shared" si="3"/>
        <v>5000</v>
      </c>
      <c r="K41" s="18">
        <f t="shared" si="2"/>
        <v>0</v>
      </c>
      <c r="L41" s="18">
        <f t="shared" si="4"/>
        <v>0</v>
      </c>
      <c r="M41" s="6"/>
    </row>
    <row r="42" spans="1:13" x14ac:dyDescent="0.2">
      <c r="A42" s="6" t="s">
        <v>22</v>
      </c>
      <c r="B42" s="8">
        <v>201505464</v>
      </c>
      <c r="C42" s="4">
        <v>42068</v>
      </c>
      <c r="D42" s="13">
        <v>3</v>
      </c>
      <c r="E42" s="13">
        <f t="shared" si="5"/>
        <v>2015</v>
      </c>
      <c r="F42" s="26" t="s">
        <v>27</v>
      </c>
      <c r="G42" s="17">
        <v>0</v>
      </c>
      <c r="H42" s="18">
        <v>90280</v>
      </c>
      <c r="I42" s="18">
        <f t="shared" si="6"/>
        <v>90280</v>
      </c>
      <c r="J42" s="18">
        <f t="shared" si="3"/>
        <v>5000</v>
      </c>
      <c r="K42" s="18">
        <f t="shared" si="2"/>
        <v>0</v>
      </c>
      <c r="L42" s="18">
        <f t="shared" si="4"/>
        <v>85280</v>
      </c>
      <c r="M42" s="6"/>
    </row>
    <row r="43" spans="1:13" x14ac:dyDescent="0.2">
      <c r="A43" s="6" t="s">
        <v>21</v>
      </c>
      <c r="B43" s="9">
        <v>2869</v>
      </c>
      <c r="C43" s="11">
        <v>42134</v>
      </c>
      <c r="D43" s="14">
        <v>4</v>
      </c>
      <c r="E43" s="13">
        <f t="shared" si="5"/>
        <v>2015</v>
      </c>
      <c r="F43" s="7" t="s">
        <v>27</v>
      </c>
      <c r="G43" s="23">
        <v>0</v>
      </c>
      <c r="H43" s="23">
        <v>5450</v>
      </c>
      <c r="I43" s="18">
        <f t="shared" si="6"/>
        <v>5450</v>
      </c>
      <c r="J43" s="18">
        <f t="shared" si="3"/>
        <v>5000</v>
      </c>
      <c r="K43" s="18">
        <f t="shared" si="2"/>
        <v>0</v>
      </c>
      <c r="L43" s="18">
        <f t="shared" si="4"/>
        <v>450</v>
      </c>
      <c r="M43" s="7" t="s">
        <v>6</v>
      </c>
    </row>
    <row r="44" spans="1:13" x14ac:dyDescent="0.2">
      <c r="A44" s="6" t="s">
        <v>21</v>
      </c>
      <c r="B44" s="9">
        <v>2455</v>
      </c>
      <c r="C44" s="11">
        <v>42138</v>
      </c>
      <c r="D44" s="14">
        <v>4</v>
      </c>
      <c r="E44" s="13">
        <f t="shared" si="5"/>
        <v>2015</v>
      </c>
      <c r="F44" s="7" t="s">
        <v>27</v>
      </c>
      <c r="G44" s="23">
        <v>0</v>
      </c>
      <c r="H44" s="23">
        <v>8450</v>
      </c>
      <c r="I44" s="18">
        <f t="shared" si="6"/>
        <v>8450</v>
      </c>
      <c r="J44" s="18">
        <f t="shared" si="3"/>
        <v>5000</v>
      </c>
      <c r="K44" s="18">
        <f t="shared" si="2"/>
        <v>0</v>
      </c>
      <c r="L44" s="18">
        <f t="shared" si="4"/>
        <v>3450</v>
      </c>
      <c r="M44" s="7" t="s">
        <v>7</v>
      </c>
    </row>
    <row r="45" spans="1:13" x14ac:dyDescent="0.2">
      <c r="A45" s="6" t="s">
        <v>21</v>
      </c>
      <c r="B45" s="9">
        <v>3250</v>
      </c>
      <c r="C45" s="11">
        <v>42138</v>
      </c>
      <c r="D45" s="14">
        <v>4</v>
      </c>
      <c r="E45" s="13">
        <f t="shared" si="5"/>
        <v>2015</v>
      </c>
      <c r="F45" s="26" t="s">
        <v>26</v>
      </c>
      <c r="G45" s="23">
        <v>0</v>
      </c>
      <c r="H45" s="23">
        <v>0</v>
      </c>
      <c r="I45" s="18">
        <f t="shared" si="6"/>
        <v>0</v>
      </c>
      <c r="J45" s="18">
        <f t="shared" si="3"/>
        <v>0</v>
      </c>
      <c r="K45" s="18">
        <f t="shared" si="2"/>
        <v>0</v>
      </c>
      <c r="L45" s="18">
        <f t="shared" si="4"/>
        <v>0</v>
      </c>
      <c r="M45" s="7" t="s">
        <v>8</v>
      </c>
    </row>
    <row r="46" spans="1:13" x14ac:dyDescent="0.2">
      <c r="A46" s="6" t="s">
        <v>21</v>
      </c>
      <c r="B46" s="9">
        <v>2454</v>
      </c>
      <c r="C46" s="11">
        <v>42141</v>
      </c>
      <c r="D46" s="14">
        <v>4</v>
      </c>
      <c r="E46" s="13">
        <f t="shared" si="5"/>
        <v>2015</v>
      </c>
      <c r="F46" s="26" t="s">
        <v>28</v>
      </c>
      <c r="G46" s="23">
        <v>1150</v>
      </c>
      <c r="H46" s="23">
        <v>0</v>
      </c>
      <c r="I46" s="18">
        <f t="shared" si="6"/>
        <v>1150</v>
      </c>
      <c r="J46" s="18">
        <f t="shared" si="3"/>
        <v>1150</v>
      </c>
      <c r="K46" s="18">
        <f t="shared" si="2"/>
        <v>0</v>
      </c>
      <c r="L46" s="18">
        <f t="shared" si="4"/>
        <v>0</v>
      </c>
      <c r="M46" s="7" t="s">
        <v>7</v>
      </c>
    </row>
    <row r="47" spans="1:13" x14ac:dyDescent="0.2">
      <c r="A47" s="6" t="s">
        <v>21</v>
      </c>
      <c r="B47" s="9">
        <v>3347</v>
      </c>
      <c r="C47" s="11">
        <v>42166</v>
      </c>
      <c r="D47" s="14">
        <v>4</v>
      </c>
      <c r="E47" s="13">
        <f t="shared" si="5"/>
        <v>2015</v>
      </c>
      <c r="F47" s="26" t="s">
        <v>28</v>
      </c>
      <c r="G47" s="23">
        <v>500</v>
      </c>
      <c r="H47" s="23">
        <v>0</v>
      </c>
      <c r="I47" s="18">
        <f t="shared" si="6"/>
        <v>500</v>
      </c>
      <c r="J47" s="18">
        <f t="shared" si="3"/>
        <v>500</v>
      </c>
      <c r="K47" s="18">
        <f t="shared" si="2"/>
        <v>0</v>
      </c>
      <c r="L47" s="18">
        <f t="shared" si="4"/>
        <v>0</v>
      </c>
      <c r="M47" s="7" t="s">
        <v>8</v>
      </c>
    </row>
    <row r="48" spans="1:13" x14ac:dyDescent="0.2">
      <c r="A48" s="6" t="s">
        <v>21</v>
      </c>
      <c r="B48" s="9">
        <v>2464</v>
      </c>
      <c r="C48" s="11">
        <v>42172</v>
      </c>
      <c r="D48" s="14">
        <v>4</v>
      </c>
      <c r="E48" s="13">
        <f t="shared" si="5"/>
        <v>2015</v>
      </c>
      <c r="F48" s="26" t="s">
        <v>26</v>
      </c>
      <c r="G48" s="23">
        <v>0</v>
      </c>
      <c r="H48" s="23">
        <v>0</v>
      </c>
      <c r="I48" s="18">
        <f t="shared" si="6"/>
        <v>0</v>
      </c>
      <c r="J48" s="18">
        <f t="shared" si="3"/>
        <v>0</v>
      </c>
      <c r="K48" s="18">
        <f t="shared" si="2"/>
        <v>0</v>
      </c>
      <c r="L48" s="18">
        <f t="shared" si="4"/>
        <v>0</v>
      </c>
      <c r="M48" s="7" t="s">
        <v>7</v>
      </c>
    </row>
    <row r="49" spans="1:13" x14ac:dyDescent="0.2">
      <c r="A49" s="6" t="s">
        <v>21</v>
      </c>
      <c r="B49" s="9">
        <v>2791</v>
      </c>
      <c r="C49" s="11">
        <v>42245</v>
      </c>
      <c r="D49" s="14">
        <v>4</v>
      </c>
      <c r="E49" s="13">
        <f t="shared" si="5"/>
        <v>2015</v>
      </c>
      <c r="F49" s="26" t="s">
        <v>28</v>
      </c>
      <c r="G49" s="23">
        <v>4050</v>
      </c>
      <c r="H49" s="23">
        <v>0</v>
      </c>
      <c r="I49" s="18">
        <f t="shared" si="6"/>
        <v>4050</v>
      </c>
      <c r="J49" s="18">
        <f t="shared" si="3"/>
        <v>4050</v>
      </c>
      <c r="K49" s="18">
        <f t="shared" si="2"/>
        <v>0</v>
      </c>
      <c r="L49" s="18">
        <f t="shared" si="4"/>
        <v>0</v>
      </c>
      <c r="M49" s="7" t="s">
        <v>7</v>
      </c>
    </row>
    <row r="50" spans="1:13" x14ac:dyDescent="0.2">
      <c r="A50" s="6" t="s">
        <v>21</v>
      </c>
      <c r="B50" s="9">
        <v>3254</v>
      </c>
      <c r="C50" s="11">
        <v>42264</v>
      </c>
      <c r="D50" s="14">
        <v>4</v>
      </c>
      <c r="E50" s="13">
        <f t="shared" si="5"/>
        <v>2015</v>
      </c>
      <c r="F50" s="26" t="s">
        <v>28</v>
      </c>
      <c r="G50" s="23">
        <v>800</v>
      </c>
      <c r="H50" s="23">
        <v>0</v>
      </c>
      <c r="I50" s="18">
        <f t="shared" si="6"/>
        <v>800</v>
      </c>
      <c r="J50" s="18">
        <f t="shared" si="3"/>
        <v>800</v>
      </c>
      <c r="K50" s="18">
        <f t="shared" si="2"/>
        <v>0</v>
      </c>
      <c r="L50" s="18">
        <f t="shared" si="4"/>
        <v>0</v>
      </c>
      <c r="M50" s="7" t="s">
        <v>9</v>
      </c>
    </row>
    <row r="51" spans="1:13" x14ac:dyDescent="0.2">
      <c r="A51" s="6" t="s">
        <v>21</v>
      </c>
      <c r="B51" s="9">
        <v>3252</v>
      </c>
      <c r="C51" s="11">
        <v>42272</v>
      </c>
      <c r="D51" s="14">
        <v>4</v>
      </c>
      <c r="E51" s="13">
        <f t="shared" si="5"/>
        <v>2015</v>
      </c>
      <c r="F51" s="26" t="s">
        <v>28</v>
      </c>
      <c r="G51" s="23">
        <v>1500</v>
      </c>
      <c r="H51" s="23">
        <v>0</v>
      </c>
      <c r="I51" s="18">
        <f t="shared" si="6"/>
        <v>1500</v>
      </c>
      <c r="J51" s="18">
        <f t="shared" si="3"/>
        <v>1500</v>
      </c>
      <c r="K51" s="18">
        <f t="shared" si="2"/>
        <v>0</v>
      </c>
      <c r="L51" s="18">
        <f t="shared" si="4"/>
        <v>0</v>
      </c>
      <c r="M51" s="7" t="s">
        <v>10</v>
      </c>
    </row>
    <row r="52" spans="1:13" x14ac:dyDescent="0.2">
      <c r="A52" s="6" t="s">
        <v>21</v>
      </c>
      <c r="B52" s="9">
        <v>87</v>
      </c>
      <c r="C52" s="11">
        <v>42324</v>
      </c>
      <c r="D52" s="14">
        <v>4</v>
      </c>
      <c r="E52" s="13">
        <f t="shared" si="5"/>
        <v>2015</v>
      </c>
      <c r="F52" s="26" t="s">
        <v>26</v>
      </c>
      <c r="G52" s="23">
        <v>0</v>
      </c>
      <c r="H52" s="23">
        <v>0</v>
      </c>
      <c r="I52" s="18">
        <f t="shared" si="6"/>
        <v>0</v>
      </c>
      <c r="J52" s="18">
        <f t="shared" si="3"/>
        <v>0</v>
      </c>
      <c r="K52" s="18">
        <f t="shared" si="2"/>
        <v>0</v>
      </c>
      <c r="L52" s="18">
        <f t="shared" si="4"/>
        <v>0</v>
      </c>
      <c r="M52" s="7" t="s">
        <v>11</v>
      </c>
    </row>
    <row r="53" spans="1:13" x14ac:dyDescent="0.2">
      <c r="A53" s="6" t="s">
        <v>21</v>
      </c>
      <c r="B53" s="9">
        <v>109</v>
      </c>
      <c r="C53" s="11">
        <v>42380</v>
      </c>
      <c r="D53" s="14">
        <v>4</v>
      </c>
      <c r="E53" s="13">
        <f t="shared" si="5"/>
        <v>2016</v>
      </c>
      <c r="F53" s="26" t="s">
        <v>28</v>
      </c>
      <c r="G53" s="23">
        <v>1100</v>
      </c>
      <c r="H53" s="23">
        <v>0</v>
      </c>
      <c r="I53" s="18">
        <f t="shared" si="6"/>
        <v>1100</v>
      </c>
      <c r="J53" s="18">
        <f t="shared" si="3"/>
        <v>1100</v>
      </c>
      <c r="K53" s="18">
        <f t="shared" si="2"/>
        <v>0</v>
      </c>
      <c r="L53" s="18">
        <f t="shared" si="4"/>
        <v>0</v>
      </c>
      <c r="M53" s="7" t="s">
        <v>12</v>
      </c>
    </row>
    <row r="54" spans="1:13" x14ac:dyDescent="0.2">
      <c r="A54" s="6" t="s">
        <v>21</v>
      </c>
      <c r="B54" s="9">
        <v>678</v>
      </c>
      <c r="C54" s="11">
        <v>42389</v>
      </c>
      <c r="D54" s="14">
        <v>4</v>
      </c>
      <c r="E54" s="13">
        <f t="shared" si="5"/>
        <v>2016</v>
      </c>
      <c r="F54" s="26" t="s">
        <v>26</v>
      </c>
      <c r="G54" s="23">
        <v>0</v>
      </c>
      <c r="H54" s="23">
        <v>0</v>
      </c>
      <c r="I54" s="18">
        <f t="shared" si="6"/>
        <v>0</v>
      </c>
      <c r="J54" s="18">
        <f t="shared" si="3"/>
        <v>0</v>
      </c>
      <c r="K54" s="18">
        <f t="shared" si="2"/>
        <v>0</v>
      </c>
      <c r="L54" s="18">
        <f t="shared" si="4"/>
        <v>0</v>
      </c>
      <c r="M54" s="7" t="s">
        <v>13</v>
      </c>
    </row>
    <row r="55" spans="1:13" x14ac:dyDescent="0.2">
      <c r="A55" s="6" t="s">
        <v>21</v>
      </c>
      <c r="B55" s="9">
        <v>958</v>
      </c>
      <c r="C55" s="11">
        <v>42430</v>
      </c>
      <c r="D55" s="14">
        <v>4</v>
      </c>
      <c r="E55" s="13">
        <f t="shared" si="5"/>
        <v>2016</v>
      </c>
      <c r="F55" s="7" t="s">
        <v>27</v>
      </c>
      <c r="G55" s="23">
        <v>0</v>
      </c>
      <c r="H55" s="23">
        <v>1486</v>
      </c>
      <c r="I55" s="18">
        <f t="shared" si="6"/>
        <v>1486</v>
      </c>
      <c r="J55" s="18">
        <f t="shared" si="3"/>
        <v>1486</v>
      </c>
      <c r="K55" s="18">
        <f t="shared" si="2"/>
        <v>0</v>
      </c>
      <c r="L55" s="18">
        <f t="shared" si="4"/>
        <v>0</v>
      </c>
      <c r="M55" s="7" t="s">
        <v>14</v>
      </c>
    </row>
    <row r="56" spans="1:13" x14ac:dyDescent="0.2">
      <c r="A56" s="6" t="s">
        <v>21</v>
      </c>
      <c r="B56" s="9">
        <v>1165</v>
      </c>
      <c r="C56" s="11">
        <v>42437</v>
      </c>
      <c r="D56" s="14">
        <v>4</v>
      </c>
      <c r="E56" s="13">
        <f t="shared" si="5"/>
        <v>2016</v>
      </c>
      <c r="F56" s="26" t="s">
        <v>26</v>
      </c>
      <c r="G56" s="23">
        <v>0</v>
      </c>
      <c r="H56" s="23">
        <v>0</v>
      </c>
      <c r="I56" s="18">
        <f t="shared" si="6"/>
        <v>0</v>
      </c>
      <c r="J56" s="18">
        <f t="shared" si="3"/>
        <v>0</v>
      </c>
      <c r="K56" s="18">
        <f t="shared" si="2"/>
        <v>0</v>
      </c>
      <c r="L56" s="18">
        <f t="shared" si="4"/>
        <v>0</v>
      </c>
      <c r="M56" s="7" t="s">
        <v>7</v>
      </c>
    </row>
    <row r="57" spans="1:13" x14ac:dyDescent="0.2">
      <c r="A57" s="6" t="s">
        <v>21</v>
      </c>
      <c r="B57" s="9">
        <v>1166</v>
      </c>
      <c r="C57" s="11">
        <v>42461</v>
      </c>
      <c r="D57" s="14">
        <v>5</v>
      </c>
      <c r="E57" s="13">
        <f t="shared" si="5"/>
        <v>2016</v>
      </c>
      <c r="F57" s="26" t="s">
        <v>26</v>
      </c>
      <c r="G57" s="23">
        <v>0</v>
      </c>
      <c r="H57" s="23">
        <v>0</v>
      </c>
      <c r="I57" s="18">
        <f t="shared" si="6"/>
        <v>0</v>
      </c>
      <c r="J57" s="18">
        <f t="shared" si="3"/>
        <v>0</v>
      </c>
      <c r="K57" s="18">
        <f t="shared" si="2"/>
        <v>0</v>
      </c>
      <c r="L57" s="18">
        <f t="shared" si="4"/>
        <v>0</v>
      </c>
      <c r="M57" s="7" t="s">
        <v>15</v>
      </c>
    </row>
    <row r="58" spans="1:13" x14ac:dyDescent="0.2">
      <c r="A58" s="6" t="s">
        <v>21</v>
      </c>
      <c r="B58" s="9">
        <v>1279</v>
      </c>
      <c r="C58" s="11">
        <v>42498</v>
      </c>
      <c r="D58" s="14">
        <v>5</v>
      </c>
      <c r="E58" s="13">
        <f t="shared" si="5"/>
        <v>2016</v>
      </c>
      <c r="F58" s="26" t="s">
        <v>26</v>
      </c>
      <c r="G58" s="23">
        <v>0</v>
      </c>
      <c r="H58" s="23">
        <v>0</v>
      </c>
      <c r="I58" s="18">
        <f t="shared" si="6"/>
        <v>0</v>
      </c>
      <c r="J58" s="18">
        <f t="shared" si="3"/>
        <v>0</v>
      </c>
      <c r="K58" s="18">
        <f t="shared" si="2"/>
        <v>0</v>
      </c>
      <c r="L58" s="18">
        <f t="shared" si="4"/>
        <v>0</v>
      </c>
      <c r="M58" s="7" t="s">
        <v>7</v>
      </c>
    </row>
    <row r="59" spans="1:13" x14ac:dyDescent="0.2">
      <c r="A59" s="6" t="s">
        <v>21</v>
      </c>
      <c r="B59" s="9">
        <v>2751</v>
      </c>
      <c r="C59" s="11">
        <v>42556</v>
      </c>
      <c r="D59" s="14">
        <v>5</v>
      </c>
      <c r="E59" s="13">
        <f t="shared" si="5"/>
        <v>2016</v>
      </c>
      <c r="F59" s="26" t="s">
        <v>26</v>
      </c>
      <c r="G59" s="23">
        <v>0</v>
      </c>
      <c r="H59" s="23">
        <v>0</v>
      </c>
      <c r="I59" s="18">
        <f t="shared" si="6"/>
        <v>0</v>
      </c>
      <c r="J59" s="18">
        <f t="shared" si="3"/>
        <v>0</v>
      </c>
      <c r="K59" s="18">
        <f t="shared" si="2"/>
        <v>0</v>
      </c>
      <c r="L59" s="18">
        <f t="shared" si="4"/>
        <v>0</v>
      </c>
      <c r="M59" s="7" t="s">
        <v>16</v>
      </c>
    </row>
    <row r="60" spans="1:13" x14ac:dyDescent="0.2">
      <c r="A60" s="6" t="s">
        <v>21</v>
      </c>
      <c r="B60" s="9">
        <v>1951</v>
      </c>
      <c r="C60" s="11">
        <v>42562</v>
      </c>
      <c r="D60" s="14">
        <v>5</v>
      </c>
      <c r="E60" s="13">
        <f t="shared" si="5"/>
        <v>2016</v>
      </c>
      <c r="F60" s="7" t="s">
        <v>27</v>
      </c>
      <c r="G60" s="23">
        <v>0</v>
      </c>
      <c r="H60" s="23">
        <v>19000</v>
      </c>
      <c r="I60" s="18">
        <f t="shared" si="6"/>
        <v>19000</v>
      </c>
      <c r="J60" s="18">
        <f t="shared" si="3"/>
        <v>5000</v>
      </c>
      <c r="K60" s="18">
        <f t="shared" si="2"/>
        <v>0</v>
      </c>
      <c r="L60" s="18">
        <f t="shared" si="4"/>
        <v>14000</v>
      </c>
      <c r="M60" s="7" t="s">
        <v>7</v>
      </c>
    </row>
    <row r="61" spans="1:13" x14ac:dyDescent="0.2">
      <c r="A61" s="6" t="s">
        <v>21</v>
      </c>
      <c r="B61" s="9">
        <v>2124</v>
      </c>
      <c r="C61" s="11">
        <v>42570</v>
      </c>
      <c r="D61" s="14">
        <v>5</v>
      </c>
      <c r="E61" s="13">
        <f t="shared" si="5"/>
        <v>2016</v>
      </c>
      <c r="F61" s="7" t="s">
        <v>27</v>
      </c>
      <c r="G61" s="23">
        <v>0</v>
      </c>
      <c r="H61" s="23">
        <v>7000</v>
      </c>
      <c r="I61" s="18">
        <f t="shared" si="6"/>
        <v>7000</v>
      </c>
      <c r="J61" s="18">
        <f t="shared" si="3"/>
        <v>5000</v>
      </c>
      <c r="K61" s="18">
        <f t="shared" si="2"/>
        <v>0</v>
      </c>
      <c r="L61" s="18">
        <f t="shared" si="4"/>
        <v>2000</v>
      </c>
      <c r="M61" s="7" t="s">
        <v>17</v>
      </c>
    </row>
    <row r="62" spans="1:13" x14ac:dyDescent="0.2">
      <c r="A62" s="6" t="s">
        <v>21</v>
      </c>
      <c r="B62" s="9">
        <v>2607</v>
      </c>
      <c r="C62" s="11">
        <v>42603</v>
      </c>
      <c r="D62" s="14">
        <v>5</v>
      </c>
      <c r="E62" s="13">
        <f t="shared" si="5"/>
        <v>2016</v>
      </c>
      <c r="F62" s="26" t="s">
        <v>26</v>
      </c>
      <c r="G62" s="23">
        <v>0</v>
      </c>
      <c r="H62" s="23">
        <v>0</v>
      </c>
      <c r="I62" s="18">
        <f t="shared" si="6"/>
        <v>0</v>
      </c>
      <c r="J62" s="18">
        <f t="shared" si="3"/>
        <v>0</v>
      </c>
      <c r="K62" s="18">
        <f t="shared" si="2"/>
        <v>0</v>
      </c>
      <c r="L62" s="18">
        <f t="shared" si="4"/>
        <v>0</v>
      </c>
      <c r="M62" s="7" t="s">
        <v>15</v>
      </c>
    </row>
    <row r="63" spans="1:13" x14ac:dyDescent="0.2">
      <c r="A63" s="6" t="s">
        <v>21</v>
      </c>
      <c r="B63" s="9">
        <v>2613</v>
      </c>
      <c r="C63" s="11">
        <v>42641</v>
      </c>
      <c r="D63" s="14">
        <v>5</v>
      </c>
      <c r="E63" s="13">
        <f t="shared" si="5"/>
        <v>2016</v>
      </c>
      <c r="F63" s="26" t="s">
        <v>26</v>
      </c>
      <c r="G63" s="23">
        <v>0</v>
      </c>
      <c r="H63" s="23">
        <v>0</v>
      </c>
      <c r="I63" s="18">
        <f t="shared" si="6"/>
        <v>0</v>
      </c>
      <c r="J63" s="18">
        <f t="shared" si="3"/>
        <v>0</v>
      </c>
      <c r="K63" s="18">
        <f t="shared" si="2"/>
        <v>0</v>
      </c>
      <c r="L63" s="18">
        <f t="shared" si="4"/>
        <v>0</v>
      </c>
      <c r="M63" s="7" t="s">
        <v>7</v>
      </c>
    </row>
    <row r="64" spans="1:13" x14ac:dyDescent="0.2">
      <c r="A64" s="6" t="s">
        <v>21</v>
      </c>
      <c r="B64" s="9">
        <v>2773</v>
      </c>
      <c r="C64" s="11">
        <v>42647</v>
      </c>
      <c r="D64" s="14">
        <v>5</v>
      </c>
      <c r="E64" s="13">
        <f t="shared" si="5"/>
        <v>2016</v>
      </c>
      <c r="F64" s="26" t="s">
        <v>28</v>
      </c>
      <c r="G64" s="23">
        <v>1750</v>
      </c>
      <c r="H64" s="23">
        <v>0</v>
      </c>
      <c r="I64" s="18">
        <f t="shared" si="6"/>
        <v>1750</v>
      </c>
      <c r="J64" s="18">
        <f t="shared" si="3"/>
        <v>1750</v>
      </c>
      <c r="K64" s="18">
        <f t="shared" si="2"/>
        <v>0</v>
      </c>
      <c r="L64" s="18">
        <f t="shared" si="4"/>
        <v>0</v>
      </c>
      <c r="M64" s="7" t="s">
        <v>7</v>
      </c>
    </row>
    <row r="65" spans="1:13" x14ac:dyDescent="0.2">
      <c r="A65" s="6" t="s">
        <v>21</v>
      </c>
      <c r="B65" s="9">
        <v>2899</v>
      </c>
      <c r="C65" s="11">
        <v>42647</v>
      </c>
      <c r="D65" s="14">
        <v>5</v>
      </c>
      <c r="E65" s="13">
        <f t="shared" si="5"/>
        <v>2016</v>
      </c>
      <c r="F65" s="26" t="s">
        <v>26</v>
      </c>
      <c r="G65" s="23">
        <v>0</v>
      </c>
      <c r="H65" s="23">
        <v>0</v>
      </c>
      <c r="I65" s="18">
        <f t="shared" si="6"/>
        <v>0</v>
      </c>
      <c r="J65" s="18">
        <f t="shared" si="3"/>
        <v>0</v>
      </c>
      <c r="K65" s="18">
        <f t="shared" si="2"/>
        <v>0</v>
      </c>
      <c r="L65" s="18">
        <f t="shared" si="4"/>
        <v>0</v>
      </c>
      <c r="M65" s="7" t="s">
        <v>7</v>
      </c>
    </row>
    <row r="66" spans="1:13" x14ac:dyDescent="0.2">
      <c r="A66" s="6" t="s">
        <v>21</v>
      </c>
      <c r="B66" s="9">
        <v>3070</v>
      </c>
      <c r="C66" s="11">
        <v>42680</v>
      </c>
      <c r="D66" s="14">
        <v>5</v>
      </c>
      <c r="E66" s="13">
        <f t="shared" si="5"/>
        <v>2016</v>
      </c>
      <c r="F66" s="7" t="s">
        <v>27</v>
      </c>
      <c r="G66" s="23">
        <v>0</v>
      </c>
      <c r="H66" s="23">
        <v>2961</v>
      </c>
      <c r="I66" s="18">
        <f t="shared" si="6"/>
        <v>2961</v>
      </c>
      <c r="J66" s="18">
        <f t="shared" si="3"/>
        <v>2961</v>
      </c>
      <c r="K66" s="18">
        <f t="shared" si="2"/>
        <v>0</v>
      </c>
      <c r="L66" s="18">
        <f t="shared" si="4"/>
        <v>0</v>
      </c>
      <c r="M66" s="7" t="s">
        <v>18</v>
      </c>
    </row>
    <row r="67" spans="1:13" x14ac:dyDescent="0.2">
      <c r="A67" s="6" t="s">
        <v>21</v>
      </c>
      <c r="B67" s="9">
        <v>1225</v>
      </c>
      <c r="C67" s="11">
        <v>42680</v>
      </c>
      <c r="D67" s="14">
        <v>5</v>
      </c>
      <c r="E67" s="13">
        <f t="shared" si="5"/>
        <v>2016</v>
      </c>
      <c r="F67" s="26" t="s">
        <v>26</v>
      </c>
      <c r="G67" s="23">
        <v>0</v>
      </c>
      <c r="H67" s="23">
        <v>0</v>
      </c>
      <c r="I67" s="18">
        <f t="shared" si="6"/>
        <v>0</v>
      </c>
      <c r="J67" s="18">
        <f t="shared" si="3"/>
        <v>0</v>
      </c>
      <c r="K67" s="18">
        <f t="shared" si="2"/>
        <v>0</v>
      </c>
      <c r="L67" s="18">
        <f t="shared" si="4"/>
        <v>0</v>
      </c>
      <c r="M67" s="7" t="s">
        <v>12</v>
      </c>
    </row>
    <row r="68" spans="1:13" x14ac:dyDescent="0.2">
      <c r="A68" s="6" t="s">
        <v>21</v>
      </c>
      <c r="B68" s="9">
        <v>3226</v>
      </c>
      <c r="C68" s="11">
        <v>42697</v>
      </c>
      <c r="D68" s="14">
        <v>5</v>
      </c>
      <c r="E68" s="13">
        <f t="shared" si="5"/>
        <v>2016</v>
      </c>
      <c r="F68" s="26" t="s">
        <v>26</v>
      </c>
      <c r="G68" s="23">
        <v>0</v>
      </c>
      <c r="H68" s="23">
        <v>0</v>
      </c>
      <c r="I68" s="18">
        <f t="shared" si="6"/>
        <v>0</v>
      </c>
      <c r="J68" s="18">
        <f t="shared" si="3"/>
        <v>0</v>
      </c>
      <c r="K68" s="18">
        <f t="shared" si="2"/>
        <v>0</v>
      </c>
      <c r="L68" s="18">
        <f t="shared" si="4"/>
        <v>0</v>
      </c>
      <c r="M68" s="7" t="s">
        <v>12</v>
      </c>
    </row>
    <row r="69" spans="1:13" x14ac:dyDescent="0.2">
      <c r="A69" s="6" t="s">
        <v>21</v>
      </c>
      <c r="B69" s="9">
        <v>957</v>
      </c>
      <c r="C69" s="11">
        <v>42711</v>
      </c>
      <c r="D69" s="14">
        <v>5</v>
      </c>
      <c r="E69" s="13">
        <f t="shared" ref="E69:E77" si="7">YEAR(C69)</f>
        <v>2016</v>
      </c>
      <c r="F69" s="26" t="s">
        <v>26</v>
      </c>
      <c r="G69" s="23">
        <v>0</v>
      </c>
      <c r="H69" s="23">
        <v>0</v>
      </c>
      <c r="I69" s="18">
        <f t="shared" ref="I69:I77" si="8">G69+H69</f>
        <v>0</v>
      </c>
      <c r="J69" s="18">
        <f t="shared" si="3"/>
        <v>0</v>
      </c>
      <c r="K69" s="18">
        <f t="shared" ref="K69:K77" si="9">IF(I69&lt;=$B$1,IF($B$2="Si",$B$3,IF($B$2="No",0)),0)</f>
        <v>0</v>
      </c>
      <c r="L69" s="18">
        <f t="shared" si="4"/>
        <v>0</v>
      </c>
      <c r="M69" s="7" t="s">
        <v>7</v>
      </c>
    </row>
    <row r="70" spans="1:13" x14ac:dyDescent="0.2">
      <c r="A70" s="6" t="s">
        <v>21</v>
      </c>
      <c r="B70" s="9">
        <v>333</v>
      </c>
      <c r="C70" s="11">
        <v>42735</v>
      </c>
      <c r="D70" s="14">
        <v>5</v>
      </c>
      <c r="E70" s="13">
        <f t="shared" si="7"/>
        <v>2016</v>
      </c>
      <c r="F70" s="7" t="s">
        <v>27</v>
      </c>
      <c r="G70" s="23">
        <v>0</v>
      </c>
      <c r="H70" s="23">
        <v>5600</v>
      </c>
      <c r="I70" s="18">
        <f t="shared" si="8"/>
        <v>5600</v>
      </c>
      <c r="J70" s="18">
        <f t="shared" ref="J70:J77" si="10">IF(I70&lt;=$B$1,I70,$B$1)</f>
        <v>5000</v>
      </c>
      <c r="K70" s="18">
        <f t="shared" si="9"/>
        <v>0</v>
      </c>
      <c r="L70" s="18">
        <f t="shared" ref="L70:L77" si="11">I70-J70</f>
        <v>600</v>
      </c>
      <c r="M70" s="7" t="s">
        <v>7</v>
      </c>
    </row>
    <row r="71" spans="1:13" x14ac:dyDescent="0.2">
      <c r="A71" s="6" t="s">
        <v>21</v>
      </c>
      <c r="B71" s="9">
        <v>883</v>
      </c>
      <c r="C71" s="11">
        <v>42803</v>
      </c>
      <c r="D71" s="14">
        <v>5</v>
      </c>
      <c r="E71" s="13">
        <f t="shared" si="7"/>
        <v>2017</v>
      </c>
      <c r="F71" s="7" t="s">
        <v>27</v>
      </c>
      <c r="G71" s="23">
        <v>0</v>
      </c>
      <c r="H71" s="23">
        <v>600</v>
      </c>
      <c r="I71" s="18">
        <f t="shared" si="8"/>
        <v>600</v>
      </c>
      <c r="J71" s="18">
        <f t="shared" si="10"/>
        <v>600</v>
      </c>
      <c r="K71" s="18">
        <f t="shared" si="9"/>
        <v>0</v>
      </c>
      <c r="L71" s="18">
        <f t="shared" si="11"/>
        <v>0</v>
      </c>
      <c r="M71" s="7" t="s">
        <v>12</v>
      </c>
    </row>
    <row r="72" spans="1:13" x14ac:dyDescent="0.2">
      <c r="A72" s="6" t="s">
        <v>21</v>
      </c>
      <c r="B72" s="9">
        <v>976</v>
      </c>
      <c r="C72" s="11">
        <v>42812</v>
      </c>
      <c r="D72" s="14">
        <v>5</v>
      </c>
      <c r="E72" s="13">
        <f t="shared" si="7"/>
        <v>2017</v>
      </c>
      <c r="F72" s="7" t="s">
        <v>27</v>
      </c>
      <c r="G72" s="23">
        <v>0</v>
      </c>
      <c r="H72" s="23">
        <v>4001</v>
      </c>
      <c r="I72" s="18">
        <f t="shared" si="8"/>
        <v>4001</v>
      </c>
      <c r="J72" s="18">
        <f t="shared" si="10"/>
        <v>4001</v>
      </c>
      <c r="K72" s="18">
        <f t="shared" si="9"/>
        <v>0</v>
      </c>
      <c r="L72" s="18">
        <f t="shared" si="11"/>
        <v>0</v>
      </c>
      <c r="M72" s="7" t="s">
        <v>7</v>
      </c>
    </row>
    <row r="73" spans="1:13" x14ac:dyDescent="0.2">
      <c r="A73" s="6" t="s">
        <v>21</v>
      </c>
      <c r="B73" s="9">
        <v>1300</v>
      </c>
      <c r="C73" s="11">
        <v>42841</v>
      </c>
      <c r="D73" s="14">
        <v>6</v>
      </c>
      <c r="E73" s="13">
        <f t="shared" si="7"/>
        <v>2017</v>
      </c>
      <c r="F73" s="26" t="s">
        <v>26</v>
      </c>
      <c r="G73" s="23">
        <v>0</v>
      </c>
      <c r="H73" s="23">
        <v>0</v>
      </c>
      <c r="I73" s="18">
        <f t="shared" si="8"/>
        <v>0</v>
      </c>
      <c r="J73" s="18">
        <f t="shared" si="10"/>
        <v>0</v>
      </c>
      <c r="K73" s="18">
        <f t="shared" si="9"/>
        <v>0</v>
      </c>
      <c r="L73" s="18">
        <f t="shared" si="11"/>
        <v>0</v>
      </c>
      <c r="M73" s="7" t="s">
        <v>19</v>
      </c>
    </row>
    <row r="74" spans="1:13" x14ac:dyDescent="0.2">
      <c r="A74" s="6" t="s">
        <v>21</v>
      </c>
      <c r="B74" s="9">
        <v>1693</v>
      </c>
      <c r="C74" s="11">
        <v>42855</v>
      </c>
      <c r="D74" s="14">
        <v>6</v>
      </c>
      <c r="E74" s="13">
        <f t="shared" si="7"/>
        <v>2017</v>
      </c>
      <c r="F74" s="7" t="s">
        <v>27</v>
      </c>
      <c r="G74" s="23">
        <v>0</v>
      </c>
      <c r="H74" s="23">
        <v>5000</v>
      </c>
      <c r="I74" s="18">
        <f t="shared" si="8"/>
        <v>5000</v>
      </c>
      <c r="J74" s="18">
        <f t="shared" si="10"/>
        <v>5000</v>
      </c>
      <c r="K74" s="18">
        <f t="shared" si="9"/>
        <v>0</v>
      </c>
      <c r="L74" s="18">
        <f t="shared" si="11"/>
        <v>0</v>
      </c>
      <c r="M74" s="7" t="s">
        <v>7</v>
      </c>
    </row>
    <row r="75" spans="1:13" x14ac:dyDescent="0.2">
      <c r="A75" s="6" t="s">
        <v>21</v>
      </c>
      <c r="B75" s="9">
        <v>1674</v>
      </c>
      <c r="C75" s="11">
        <v>42900</v>
      </c>
      <c r="D75" s="14">
        <v>6</v>
      </c>
      <c r="E75" s="13">
        <f t="shared" si="7"/>
        <v>2017</v>
      </c>
      <c r="F75" s="7" t="s">
        <v>27</v>
      </c>
      <c r="G75" s="23">
        <v>0</v>
      </c>
      <c r="H75" s="23">
        <v>0</v>
      </c>
      <c r="I75" s="18">
        <f t="shared" si="8"/>
        <v>0</v>
      </c>
      <c r="J75" s="18">
        <f t="shared" si="10"/>
        <v>0</v>
      </c>
      <c r="K75" s="18">
        <f t="shared" si="9"/>
        <v>0</v>
      </c>
      <c r="L75" s="18">
        <f t="shared" si="11"/>
        <v>0</v>
      </c>
      <c r="M75" s="7" t="s">
        <v>15</v>
      </c>
    </row>
    <row r="76" spans="1:13" x14ac:dyDescent="0.2">
      <c r="A76" s="6" t="s">
        <v>21</v>
      </c>
      <c r="B76" s="9">
        <v>1771</v>
      </c>
      <c r="C76" s="11">
        <v>42902</v>
      </c>
      <c r="D76" s="14">
        <v>6</v>
      </c>
      <c r="E76" s="13">
        <f t="shared" si="7"/>
        <v>2017</v>
      </c>
      <c r="F76" s="7" t="s">
        <v>27</v>
      </c>
      <c r="G76" s="23">
        <v>0</v>
      </c>
      <c r="H76" s="23">
        <v>0</v>
      </c>
      <c r="I76" s="18">
        <f t="shared" si="8"/>
        <v>0</v>
      </c>
      <c r="J76" s="18">
        <f t="shared" si="10"/>
        <v>0</v>
      </c>
      <c r="K76" s="18">
        <f t="shared" si="9"/>
        <v>0</v>
      </c>
      <c r="L76" s="18">
        <f t="shared" si="11"/>
        <v>0</v>
      </c>
      <c r="M76" s="7" t="s">
        <v>20</v>
      </c>
    </row>
    <row r="77" spans="1:13" x14ac:dyDescent="0.2">
      <c r="A77" s="6" t="s">
        <v>21</v>
      </c>
      <c r="B77" s="9">
        <v>2046</v>
      </c>
      <c r="C77" s="11">
        <v>42915</v>
      </c>
      <c r="D77" s="14">
        <v>6</v>
      </c>
      <c r="E77" s="13">
        <f t="shared" si="7"/>
        <v>2017</v>
      </c>
      <c r="F77" s="7" t="s">
        <v>27</v>
      </c>
      <c r="G77" s="23">
        <v>0</v>
      </c>
      <c r="H77" s="23">
        <v>6000</v>
      </c>
      <c r="I77" s="18">
        <f t="shared" si="8"/>
        <v>6000</v>
      </c>
      <c r="J77" s="18">
        <f t="shared" si="10"/>
        <v>5000</v>
      </c>
      <c r="K77" s="18">
        <f t="shared" si="9"/>
        <v>0</v>
      </c>
      <c r="L77" s="18">
        <f t="shared" si="11"/>
        <v>1000</v>
      </c>
      <c r="M77" s="7" t="s">
        <v>12</v>
      </c>
    </row>
    <row r="78" spans="1:13" x14ac:dyDescent="0.2">
      <c r="B78" s="10"/>
    </row>
    <row r="79" spans="1:13" x14ac:dyDescent="0.2">
      <c r="B79" s="10"/>
    </row>
    <row r="80" spans="1:13" x14ac:dyDescent="0.2">
      <c r="B80" s="10"/>
    </row>
    <row r="81" spans="2:2" x14ac:dyDescent="0.2">
      <c r="B81" s="10"/>
    </row>
    <row r="82" spans="2:2" x14ac:dyDescent="0.2">
      <c r="B82" s="10"/>
    </row>
    <row r="83" spans="2:2" x14ac:dyDescent="0.2">
      <c r="B83" s="10"/>
    </row>
    <row r="84" spans="2:2" x14ac:dyDescent="0.2">
      <c r="B84" s="10"/>
    </row>
    <row r="85" spans="2:2" x14ac:dyDescent="0.2">
      <c r="B85" s="10"/>
    </row>
    <row r="86" spans="2:2" x14ac:dyDescent="0.2">
      <c r="B86" s="10"/>
    </row>
    <row r="87" spans="2:2" x14ac:dyDescent="0.2">
      <c r="B87" s="10"/>
    </row>
  </sheetData>
  <sortState ref="A2:K74">
    <sortCondition ref="C1"/>
  </sortState>
  <pageMargins left="0.75" right="0.75" top="1" bottom="1" header="0.5" footer="0.5"/>
  <pageSetup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J4" sqref="J4"/>
    </sheetView>
  </sheetViews>
  <sheetFormatPr defaultRowHeight="12.75" x14ac:dyDescent="0.2"/>
  <cols>
    <col min="1" max="1" width="26.28515625" customWidth="1"/>
    <col min="2" max="2" width="17.7109375" bestFit="1" customWidth="1"/>
    <col min="3" max="3" width="9.7109375" customWidth="1"/>
    <col min="4" max="4" width="11.7109375" customWidth="1"/>
    <col min="5" max="7" width="10.7109375" customWidth="1"/>
    <col min="8" max="8" width="11.7109375" customWidth="1"/>
    <col min="9" max="9" width="19.28515625" bestFit="1" customWidth="1"/>
    <col min="10" max="10" width="22" bestFit="1" customWidth="1"/>
    <col min="11" max="11" width="19" bestFit="1" customWidth="1"/>
    <col min="12" max="12" width="19.28515625" bestFit="1" customWidth="1"/>
    <col min="13" max="13" width="22" bestFit="1" customWidth="1"/>
    <col min="14" max="14" width="19" bestFit="1" customWidth="1"/>
    <col min="15" max="15" width="19.28515625" bestFit="1" customWidth="1"/>
    <col min="16" max="16" width="22" bestFit="1" customWidth="1"/>
    <col min="17" max="17" width="19" bestFit="1" customWidth="1"/>
    <col min="18" max="18" width="19.28515625" bestFit="1" customWidth="1"/>
    <col min="19" max="19" width="22" bestFit="1" customWidth="1"/>
    <col min="20" max="20" width="24.85546875" bestFit="1" customWidth="1"/>
    <col min="21" max="21" width="25.140625" bestFit="1" customWidth="1"/>
    <col min="22" max="22" width="27.85546875" bestFit="1" customWidth="1"/>
  </cols>
  <sheetData>
    <row r="1" spans="1:10" x14ac:dyDescent="0.2">
      <c r="A1" s="43" t="s">
        <v>56</v>
      </c>
      <c r="B1" s="43">
        <v>1.5</v>
      </c>
    </row>
    <row r="3" spans="1:10" x14ac:dyDescent="0.2">
      <c r="B3" s="30" t="s">
        <v>49</v>
      </c>
      <c r="I3" s="33"/>
    </row>
    <row r="4" spans="1:10" x14ac:dyDescent="0.2">
      <c r="A4" s="30" t="s">
        <v>23</v>
      </c>
      <c r="B4" s="38">
        <v>1</v>
      </c>
      <c r="C4" s="38">
        <v>2</v>
      </c>
      <c r="D4" s="38">
        <v>3</v>
      </c>
      <c r="E4" s="38">
        <v>4</v>
      </c>
      <c r="F4" s="38">
        <v>5</v>
      </c>
      <c r="G4" s="38">
        <v>6</v>
      </c>
      <c r="H4" s="38" t="s">
        <v>53</v>
      </c>
      <c r="I4" s="39" t="s">
        <v>52</v>
      </c>
    </row>
    <row r="5" spans="1:10" x14ac:dyDescent="0.2">
      <c r="A5" s="10" t="s">
        <v>28</v>
      </c>
      <c r="B5" s="34"/>
      <c r="C5" s="34"/>
      <c r="D5" s="34"/>
      <c r="E5" s="34"/>
      <c r="F5" s="34"/>
      <c r="G5" s="34"/>
      <c r="H5" s="34"/>
    </row>
    <row r="6" spans="1:10" x14ac:dyDescent="0.2">
      <c r="A6" s="31" t="s">
        <v>37</v>
      </c>
      <c r="B6" s="34">
        <v>3</v>
      </c>
      <c r="C6" s="34">
        <v>2</v>
      </c>
      <c r="D6" s="34">
        <v>2</v>
      </c>
      <c r="E6" s="34">
        <v>6</v>
      </c>
      <c r="F6" s="34">
        <v>1</v>
      </c>
      <c r="G6" s="34"/>
      <c r="H6" s="34">
        <v>14</v>
      </c>
      <c r="I6" s="40">
        <f>GETPIVOTDATA("Numero Eventi",$A$3,"Stato","LIQUIDATO")/5.25</f>
        <v>2.6666666666666665</v>
      </c>
    </row>
    <row r="7" spans="1:10" x14ac:dyDescent="0.2">
      <c r="A7" s="31" t="s">
        <v>39</v>
      </c>
      <c r="B7" s="32">
        <v>24351.38</v>
      </c>
      <c r="C7" s="32">
        <v>5400</v>
      </c>
      <c r="D7" s="32">
        <v>9200</v>
      </c>
      <c r="E7" s="32">
        <v>9100</v>
      </c>
      <c r="F7" s="32">
        <v>1750</v>
      </c>
      <c r="G7" s="32"/>
      <c r="H7" s="32">
        <v>49801.380000000005</v>
      </c>
      <c r="I7" s="32">
        <f>GETPIVOTDATA("Importi Liquidati",$A$3,"Stato","LIQUIDATO")/5.25</f>
        <v>9485.9771428571439</v>
      </c>
    </row>
    <row r="8" spans="1:10" x14ac:dyDescent="0.2">
      <c r="A8" s="31" t="s">
        <v>41</v>
      </c>
      <c r="B8" s="32">
        <v>0</v>
      </c>
      <c r="C8" s="32">
        <v>0</v>
      </c>
      <c r="D8" s="32">
        <v>0</v>
      </c>
      <c r="E8" s="32">
        <v>0</v>
      </c>
      <c r="F8" s="32">
        <v>0</v>
      </c>
      <c r="G8" s="32"/>
      <c r="H8" s="32">
        <v>0</v>
      </c>
      <c r="I8" s="32">
        <f>GETPIVOTDATA("Importi Riservati",$A$3,"Stato","LIQUIDATO")/5.25</f>
        <v>0</v>
      </c>
    </row>
    <row r="9" spans="1:10" x14ac:dyDescent="0.2">
      <c r="A9" s="31" t="s">
        <v>43</v>
      </c>
      <c r="B9" s="32">
        <v>24351.38</v>
      </c>
      <c r="C9" s="32">
        <v>5400</v>
      </c>
      <c r="D9" s="32">
        <v>9200</v>
      </c>
      <c r="E9" s="32">
        <v>9100</v>
      </c>
      <c r="F9" s="32">
        <v>1750</v>
      </c>
      <c r="G9" s="32"/>
      <c r="H9" s="32">
        <v>49801.380000000005</v>
      </c>
      <c r="I9" s="32">
        <f>GETPIVOTDATA("Valore sinistro",$A$3,"Stato","LIQUIDATO")/5.25</f>
        <v>9485.9771428571439</v>
      </c>
    </row>
    <row r="10" spans="1:10" x14ac:dyDescent="0.2">
      <c r="A10" s="31" t="s">
        <v>31</v>
      </c>
      <c r="B10" s="32">
        <v>12137</v>
      </c>
      <c r="C10" s="32">
        <v>5400</v>
      </c>
      <c r="D10" s="32">
        <v>8900</v>
      </c>
      <c r="E10" s="32">
        <v>9100</v>
      </c>
      <c r="F10" s="32">
        <v>1750</v>
      </c>
      <c r="G10" s="32"/>
      <c r="H10" s="32">
        <v>37287</v>
      </c>
      <c r="I10" s="32">
        <f>GETPIVOTDATA("Franchigia",$A$3,"Stato","LIQUIDATO")/5.25</f>
        <v>7102.2857142857147</v>
      </c>
    </row>
    <row r="11" spans="1:10" x14ac:dyDescent="0.2">
      <c r="A11" s="31" t="s">
        <v>50</v>
      </c>
      <c r="B11" s="32">
        <v>0</v>
      </c>
      <c r="C11" s="32">
        <v>0</v>
      </c>
      <c r="D11" s="32">
        <v>0</v>
      </c>
      <c r="E11" s="32">
        <v>0</v>
      </c>
      <c r="F11" s="32">
        <v>0</v>
      </c>
      <c r="G11" s="32"/>
      <c r="H11" s="32">
        <v>0</v>
      </c>
      <c r="I11" s="32">
        <f>GETPIVOTDATA("Costi gestionali (SIR)",$A$3,"Stato","LIQUIDATO")/5.25</f>
        <v>0</v>
      </c>
    </row>
    <row r="12" spans="1:10" x14ac:dyDescent="0.2">
      <c r="A12" s="31" t="s">
        <v>46</v>
      </c>
      <c r="B12" s="32">
        <v>12214.380000000001</v>
      </c>
      <c r="C12" s="32">
        <v>0</v>
      </c>
      <c r="D12" s="32">
        <v>300</v>
      </c>
      <c r="E12" s="32">
        <v>0</v>
      </c>
      <c r="F12" s="32">
        <v>0</v>
      </c>
      <c r="G12" s="32"/>
      <c r="H12" s="32">
        <v>12514.380000000001</v>
      </c>
      <c r="I12" s="32">
        <f>GETPIVOTDATA("Residuo Assicuratore",$A$3,"Stato","LIQUIDATO")/5.25</f>
        <v>2383.6914285714288</v>
      </c>
    </row>
    <row r="13" spans="1:10" x14ac:dyDescent="0.2">
      <c r="A13" s="10" t="s">
        <v>27</v>
      </c>
      <c r="B13" s="34"/>
      <c r="C13" s="34"/>
      <c r="D13" s="34"/>
      <c r="E13" s="34"/>
      <c r="F13" s="34"/>
      <c r="G13" s="34"/>
      <c r="H13" s="34"/>
    </row>
    <row r="14" spans="1:10" x14ac:dyDescent="0.2">
      <c r="A14" s="31" t="s">
        <v>37</v>
      </c>
      <c r="B14" s="34">
        <v>1</v>
      </c>
      <c r="C14" s="34">
        <v>1</v>
      </c>
      <c r="D14" s="34">
        <v>11</v>
      </c>
      <c r="E14" s="34">
        <v>3</v>
      </c>
      <c r="F14" s="34">
        <v>6</v>
      </c>
      <c r="G14" s="34">
        <v>4</v>
      </c>
      <c r="H14" s="34">
        <v>26</v>
      </c>
      <c r="I14" s="34">
        <f>GETPIVOTDATA("Numero Eventi",$A$3,"Stato","RISERVATO")/5.25</f>
        <v>4.9523809523809526</v>
      </c>
      <c r="J14" s="37" t="s">
        <v>23</v>
      </c>
    </row>
    <row r="15" spans="1:10" x14ac:dyDescent="0.2">
      <c r="A15" s="31" t="s">
        <v>39</v>
      </c>
      <c r="B15" s="32">
        <v>0</v>
      </c>
      <c r="C15" s="32">
        <v>0</v>
      </c>
      <c r="D15" s="32">
        <v>0</v>
      </c>
      <c r="E15" s="32">
        <v>0</v>
      </c>
      <c r="F15" s="32">
        <v>0</v>
      </c>
      <c r="G15" s="32">
        <v>0</v>
      </c>
      <c r="H15" s="32">
        <v>0</v>
      </c>
      <c r="I15" s="32">
        <f>GETPIVOTDATA("Importi Liquidati",$A$3,"Stato","RISERVATO")/5.25</f>
        <v>0</v>
      </c>
    </row>
    <row r="16" spans="1:10" x14ac:dyDescent="0.2">
      <c r="A16" s="31" t="s">
        <v>41</v>
      </c>
      <c r="B16" s="32">
        <v>8000</v>
      </c>
      <c r="C16" s="32">
        <v>3320.5</v>
      </c>
      <c r="D16" s="32">
        <v>228439</v>
      </c>
      <c r="E16" s="32">
        <v>15386</v>
      </c>
      <c r="F16" s="32">
        <v>39162</v>
      </c>
      <c r="G16" s="32">
        <v>11000</v>
      </c>
      <c r="H16" s="32">
        <v>305307.5</v>
      </c>
      <c r="I16" s="32">
        <f>GETPIVOTDATA("Importi Riservati",$A$3,"Stato","RISERVATO")/5.25</f>
        <v>58153.809523809527</v>
      </c>
    </row>
    <row r="17" spans="1:9" x14ac:dyDescent="0.2">
      <c r="A17" s="31" t="s">
        <v>43</v>
      </c>
      <c r="B17" s="32">
        <v>8000</v>
      </c>
      <c r="C17" s="32">
        <v>3320.5</v>
      </c>
      <c r="D17" s="32">
        <v>228439</v>
      </c>
      <c r="E17" s="32">
        <v>15386</v>
      </c>
      <c r="F17" s="32">
        <v>39162</v>
      </c>
      <c r="G17" s="32">
        <v>11000</v>
      </c>
      <c r="H17" s="32">
        <v>305307.5</v>
      </c>
      <c r="I17" s="32">
        <f>GETPIVOTDATA("Valore sinistro",$A$3,"Stato","RISERVATO")/5.25</f>
        <v>58153.809523809527</v>
      </c>
    </row>
    <row r="18" spans="1:9" x14ac:dyDescent="0.2">
      <c r="A18" s="31" t="s">
        <v>31</v>
      </c>
      <c r="B18" s="32">
        <v>5000</v>
      </c>
      <c r="C18" s="32">
        <v>3320.5</v>
      </c>
      <c r="D18" s="32">
        <v>48022.5</v>
      </c>
      <c r="E18" s="32">
        <v>11486</v>
      </c>
      <c r="F18" s="32">
        <v>22562</v>
      </c>
      <c r="G18" s="32">
        <v>10000</v>
      </c>
      <c r="H18" s="32">
        <v>100391</v>
      </c>
      <c r="I18" s="32">
        <f>GETPIVOTDATA("Franchigia",$A$3,"Stato","RISERVATO")/5.25</f>
        <v>19122.095238095237</v>
      </c>
    </row>
    <row r="19" spans="1:9" x14ac:dyDescent="0.2">
      <c r="A19" s="31" t="s">
        <v>50</v>
      </c>
      <c r="B19" s="32">
        <v>0</v>
      </c>
      <c r="C19" s="32">
        <v>0</v>
      </c>
      <c r="D19" s="32">
        <v>0</v>
      </c>
      <c r="E19" s="32">
        <v>0</v>
      </c>
      <c r="F19" s="32">
        <v>0</v>
      </c>
      <c r="G19" s="32">
        <v>0</v>
      </c>
      <c r="H19" s="32">
        <v>0</v>
      </c>
      <c r="I19" s="32">
        <f>GETPIVOTDATA("Costi gestionali (SIR)",$A$3,"Stato","RISERVATO")/5.25</f>
        <v>0</v>
      </c>
    </row>
    <row r="20" spans="1:9" x14ac:dyDescent="0.2">
      <c r="A20" s="31" t="s">
        <v>46</v>
      </c>
      <c r="B20" s="32">
        <v>3000</v>
      </c>
      <c r="C20" s="32">
        <v>0</v>
      </c>
      <c r="D20" s="32">
        <v>180416.5</v>
      </c>
      <c r="E20" s="32">
        <v>3900</v>
      </c>
      <c r="F20" s="32">
        <v>16600</v>
      </c>
      <c r="G20" s="32">
        <v>1000</v>
      </c>
      <c r="H20" s="32">
        <v>204916.5</v>
      </c>
      <c r="I20" s="32">
        <f>GETPIVOTDATA("Residuo Assicuratore",$A$3,"Stato","RISERVATO")/5.25</f>
        <v>39031.714285714283</v>
      </c>
    </row>
    <row r="21" spans="1:9" x14ac:dyDescent="0.2">
      <c r="A21" s="10" t="s">
        <v>26</v>
      </c>
      <c r="B21" s="34"/>
      <c r="C21" s="34"/>
      <c r="D21" s="34"/>
      <c r="E21" s="34"/>
      <c r="F21" s="34"/>
      <c r="G21" s="34"/>
      <c r="H21" s="34"/>
    </row>
    <row r="22" spans="1:9" x14ac:dyDescent="0.2">
      <c r="A22" s="31" t="s">
        <v>37</v>
      </c>
      <c r="B22" s="34">
        <v>7</v>
      </c>
      <c r="C22" s="34">
        <v>11</v>
      </c>
      <c r="D22" s="34"/>
      <c r="E22" s="34">
        <v>5</v>
      </c>
      <c r="F22" s="34">
        <v>9</v>
      </c>
      <c r="G22" s="34">
        <v>1</v>
      </c>
      <c r="H22" s="34">
        <v>33</v>
      </c>
      <c r="I22" s="42">
        <f>GETPIVOTDATA("Numero Eventi",$A$3,"Stato","SS")/5.25</f>
        <v>6.2857142857142856</v>
      </c>
    </row>
    <row r="23" spans="1:9" x14ac:dyDescent="0.2">
      <c r="A23" s="31" t="s">
        <v>39</v>
      </c>
      <c r="B23" s="32">
        <v>0</v>
      </c>
      <c r="C23" s="32">
        <v>0</v>
      </c>
      <c r="D23" s="32"/>
      <c r="E23" s="32">
        <v>0</v>
      </c>
      <c r="F23" s="32">
        <v>0</v>
      </c>
      <c r="G23" s="32">
        <v>0</v>
      </c>
      <c r="H23" s="32">
        <v>0</v>
      </c>
      <c r="I23" s="32">
        <f>GETPIVOTDATA("Importi Liquidati",$A$3,"Stato","SS")/5.25</f>
        <v>0</v>
      </c>
    </row>
    <row r="24" spans="1:9" x14ac:dyDescent="0.2">
      <c r="A24" s="31" t="s">
        <v>41</v>
      </c>
      <c r="B24" s="32">
        <v>0</v>
      </c>
      <c r="C24" s="32">
        <v>0</v>
      </c>
      <c r="D24" s="32"/>
      <c r="E24" s="32">
        <v>0</v>
      </c>
      <c r="F24" s="32">
        <v>0</v>
      </c>
      <c r="G24" s="32">
        <v>0</v>
      </c>
      <c r="H24" s="32">
        <v>0</v>
      </c>
      <c r="I24" s="32">
        <f>GETPIVOTDATA("Importi Riservati",$A$3,"Stato","SS")/5.25</f>
        <v>0</v>
      </c>
    </row>
    <row r="25" spans="1:9" x14ac:dyDescent="0.2">
      <c r="A25" s="31" t="s">
        <v>43</v>
      </c>
      <c r="B25" s="32">
        <v>0</v>
      </c>
      <c r="C25" s="32">
        <v>0</v>
      </c>
      <c r="D25" s="32"/>
      <c r="E25" s="32">
        <v>0</v>
      </c>
      <c r="F25" s="32">
        <v>0</v>
      </c>
      <c r="G25" s="32">
        <v>0</v>
      </c>
      <c r="H25" s="32">
        <v>0</v>
      </c>
      <c r="I25" s="32">
        <f>GETPIVOTDATA("Valore sinistro",$A$3,"Stato","SS")/5.25</f>
        <v>0</v>
      </c>
    </row>
    <row r="26" spans="1:9" x14ac:dyDescent="0.2">
      <c r="A26" s="31" t="s">
        <v>31</v>
      </c>
      <c r="B26" s="32">
        <v>0</v>
      </c>
      <c r="C26" s="32">
        <v>0</v>
      </c>
      <c r="D26" s="32"/>
      <c r="E26" s="32">
        <v>0</v>
      </c>
      <c r="F26" s="32">
        <v>0</v>
      </c>
      <c r="G26" s="32">
        <v>0</v>
      </c>
      <c r="H26" s="32">
        <v>0</v>
      </c>
      <c r="I26" s="32">
        <f>GETPIVOTDATA("Franchigia",$A$3,"Stato","SS")/5.25</f>
        <v>0</v>
      </c>
    </row>
    <row r="27" spans="1:9" x14ac:dyDescent="0.2">
      <c r="A27" s="31" t="s">
        <v>50</v>
      </c>
      <c r="B27" s="32">
        <v>0</v>
      </c>
      <c r="C27" s="32">
        <v>0</v>
      </c>
      <c r="D27" s="32"/>
      <c r="E27" s="32">
        <v>0</v>
      </c>
      <c r="F27" s="32">
        <v>0</v>
      </c>
      <c r="G27" s="32">
        <v>0</v>
      </c>
      <c r="H27" s="32">
        <v>0</v>
      </c>
      <c r="I27" s="32">
        <f>GETPIVOTDATA("Costi gestionali (SIR)",$A$3,"Stato","SS")/5.25</f>
        <v>0</v>
      </c>
    </row>
    <row r="28" spans="1:9" x14ac:dyDescent="0.2">
      <c r="A28" s="31" t="s">
        <v>46</v>
      </c>
      <c r="B28" s="32">
        <v>0</v>
      </c>
      <c r="C28" s="32">
        <v>0</v>
      </c>
      <c r="D28" s="32"/>
      <c r="E28" s="32">
        <v>0</v>
      </c>
      <c r="F28" s="32">
        <v>0</v>
      </c>
      <c r="G28" s="32">
        <v>0</v>
      </c>
      <c r="H28" s="32">
        <v>0</v>
      </c>
      <c r="I28" s="32">
        <f>GETPIVOTDATA("Residuo Assicuratore",$A$3,"Stato","SS")/5.25</f>
        <v>0</v>
      </c>
    </row>
    <row r="29" spans="1:9" x14ac:dyDescent="0.2">
      <c r="A29" s="10" t="s">
        <v>38</v>
      </c>
      <c r="B29" s="34">
        <v>11</v>
      </c>
      <c r="C29" s="34">
        <v>14</v>
      </c>
      <c r="D29" s="34">
        <v>13</v>
      </c>
      <c r="E29" s="34">
        <v>14</v>
      </c>
      <c r="F29" s="34">
        <v>16</v>
      </c>
      <c r="G29" s="34">
        <v>5</v>
      </c>
      <c r="H29" s="34">
        <v>73</v>
      </c>
      <c r="I29" s="41">
        <f>GETPIVOTDATA("Numero Eventi",$A$3)/5.25</f>
        <v>13.904761904761905</v>
      </c>
    </row>
    <row r="30" spans="1:9" x14ac:dyDescent="0.2">
      <c r="A30" s="10" t="s">
        <v>40</v>
      </c>
      <c r="B30" s="32">
        <v>24351.38</v>
      </c>
      <c r="C30" s="32">
        <v>5400</v>
      </c>
      <c r="D30" s="32">
        <v>9200</v>
      </c>
      <c r="E30" s="32">
        <v>9100</v>
      </c>
      <c r="F30" s="32">
        <v>1750</v>
      </c>
      <c r="G30" s="32">
        <v>0</v>
      </c>
      <c r="H30" s="32">
        <v>49801.380000000005</v>
      </c>
      <c r="I30" s="36">
        <f>GETPIVOTDATA("Importi Liquidati",$A$3)/5.25</f>
        <v>9485.9771428571439</v>
      </c>
    </row>
    <row r="31" spans="1:9" x14ac:dyDescent="0.2">
      <c r="A31" s="10" t="s">
        <v>42</v>
      </c>
      <c r="B31" s="32">
        <v>8000</v>
      </c>
      <c r="C31" s="32">
        <v>3320.5</v>
      </c>
      <c r="D31" s="32">
        <v>228439</v>
      </c>
      <c r="E31" s="32">
        <v>15386</v>
      </c>
      <c r="F31" s="32">
        <v>39162</v>
      </c>
      <c r="G31" s="32">
        <v>11000</v>
      </c>
      <c r="H31" s="32">
        <v>305307.5</v>
      </c>
      <c r="I31" s="36">
        <f>GETPIVOTDATA("Importi Riservati",$A$3)/5.25</f>
        <v>58153.809523809527</v>
      </c>
    </row>
    <row r="32" spans="1:9" x14ac:dyDescent="0.2">
      <c r="A32" s="10" t="s">
        <v>44</v>
      </c>
      <c r="B32" s="32">
        <v>32351.38</v>
      </c>
      <c r="C32" s="32">
        <v>8720.5</v>
      </c>
      <c r="D32" s="32">
        <v>237639</v>
      </c>
      <c r="E32" s="32">
        <v>24486</v>
      </c>
      <c r="F32" s="32">
        <v>40912</v>
      </c>
      <c r="G32" s="32">
        <v>11000</v>
      </c>
      <c r="H32" s="32">
        <v>355108.88</v>
      </c>
      <c r="I32" s="36">
        <f>GETPIVOTDATA("Valore sinistro",$A$3)/5.25</f>
        <v>67639.786666666667</v>
      </c>
    </row>
    <row r="33" spans="1:9" x14ac:dyDescent="0.2">
      <c r="A33" s="10" t="s">
        <v>45</v>
      </c>
      <c r="B33" s="32">
        <v>17137</v>
      </c>
      <c r="C33" s="32">
        <v>8720.5</v>
      </c>
      <c r="D33" s="32">
        <v>56922.5</v>
      </c>
      <c r="E33" s="32">
        <v>20586</v>
      </c>
      <c r="F33" s="32">
        <v>24312</v>
      </c>
      <c r="G33" s="32">
        <v>10000</v>
      </c>
      <c r="H33" s="32">
        <v>137678</v>
      </c>
      <c r="I33" s="36">
        <f>GETPIVOTDATA("Franchigia",$A$3)/5.25</f>
        <v>26224.380952380954</v>
      </c>
    </row>
    <row r="34" spans="1:9" x14ac:dyDescent="0.2">
      <c r="A34" s="10" t="s">
        <v>51</v>
      </c>
      <c r="B34" s="32">
        <v>0</v>
      </c>
      <c r="C34" s="32">
        <v>0</v>
      </c>
      <c r="D34" s="32">
        <v>0</v>
      </c>
      <c r="E34" s="32">
        <v>0</v>
      </c>
      <c r="F34" s="32">
        <v>0</v>
      </c>
      <c r="G34" s="32">
        <v>0</v>
      </c>
      <c r="H34" s="32">
        <v>0</v>
      </c>
      <c r="I34" s="36">
        <f>GETPIVOTDATA("Costi gestionali (SIR)",$A$3)/5.25</f>
        <v>0</v>
      </c>
    </row>
    <row r="35" spans="1:9" x14ac:dyDescent="0.2">
      <c r="A35" s="10" t="s">
        <v>47</v>
      </c>
      <c r="B35" s="32">
        <v>15214.380000000001</v>
      </c>
      <c r="C35" s="32">
        <v>0</v>
      </c>
      <c r="D35" s="32">
        <v>180716.5</v>
      </c>
      <c r="E35" s="32">
        <v>3900</v>
      </c>
      <c r="F35" s="32">
        <v>16600</v>
      </c>
      <c r="G35" s="32">
        <v>1000</v>
      </c>
      <c r="H35" s="32">
        <v>217430.88</v>
      </c>
      <c r="I35" s="36">
        <f>GETPIVOTDATA("Residuo Assicuratore",$A$3)/5.25</f>
        <v>41415.405714285713</v>
      </c>
    </row>
    <row r="36" spans="1:9" x14ac:dyDescent="0.2">
      <c r="A36" s="35" t="s">
        <v>48</v>
      </c>
      <c r="B36" s="36">
        <f>GETPIVOTDATA("Franchigia",$A$3,"Anno polizza",1)+GETPIVOTDATA("Costi gestionali (SIR)",$A$3,"Anno polizza",1)</f>
        <v>17137</v>
      </c>
      <c r="C36" s="36">
        <f>GETPIVOTDATA("Costi gestionali (SIR)",$A$3,"Anno polizza",2)+GETPIVOTDATA("Franchigia",$A$3,"Anno polizza",2)</f>
        <v>8720.5</v>
      </c>
      <c r="D36" s="36">
        <f>GETPIVOTDATA("Costi gestionali (SIR)",$A$3,"Anno polizza",3)+GETPIVOTDATA("Franchigia",$A$3,"Anno polizza",3)</f>
        <v>56922.5</v>
      </c>
      <c r="E36" s="36">
        <f>GETPIVOTDATA("Costi gestionali (SIR)",$A$3,"Anno polizza",4)+GETPIVOTDATA("Franchigia",$A$3,"Anno polizza",4)</f>
        <v>20586</v>
      </c>
      <c r="F36" s="36">
        <f>GETPIVOTDATA("Costi gestionali (SIR)",$A$3,"Anno polizza",5)+GETPIVOTDATA("Franchigia",$A$3,"Anno polizza",5)</f>
        <v>24312</v>
      </c>
      <c r="G36" s="36">
        <f>GETPIVOTDATA("Costi gestionali (SIR)",$A$3,"Anno polizza",6)+GETPIVOTDATA("Franchigia",$A$3,"Anno polizza",6)</f>
        <v>10000</v>
      </c>
      <c r="H36" s="36">
        <f>GETPIVOTDATA("Costi gestionali (SIR)",$A$3)+GETPIVOTDATA("Franchigia",$A$3)</f>
        <v>137678</v>
      </c>
      <c r="I36" s="36">
        <f>H36/5.25</f>
        <v>26224.380952380954</v>
      </c>
    </row>
    <row r="37" spans="1:9" x14ac:dyDescent="0.2">
      <c r="A37" s="35" t="s">
        <v>54</v>
      </c>
      <c r="B37" s="36">
        <f>GETPIVOTDATA("Residuo Assicuratore",$A$3,"Anno polizza",1)/0.7*1.225</f>
        <v>26625.165000000005</v>
      </c>
      <c r="C37" s="36">
        <f>GETPIVOTDATA("Residuo Assicuratore",$A$3,"Anno polizza",2)/0.7*1.2225</f>
        <v>0</v>
      </c>
      <c r="D37" s="36">
        <f>GETPIVOTDATA("Residuo Assicuratore",$A$3,"Anno polizza",3)/0.7*1.2225</f>
        <v>315608.45892857143</v>
      </c>
      <c r="E37" s="36">
        <f>GETPIVOTDATA("Residuo Assicuratore",$A$3,"Anno polizza",4)/0.7*1.2225</f>
        <v>6811.0714285714284</v>
      </c>
      <c r="F37" s="36">
        <f>GETPIVOTDATA("Residuo Assicuratore",$A$3,"Anno polizza",5)/0.7*1.2225</f>
        <v>28990.714285714286</v>
      </c>
      <c r="G37" s="36">
        <f>GETPIVOTDATA("Residuo Assicuratore",$A$3,"Anno polizza",6)/0.7*1.2225</f>
        <v>1746.4285714285713</v>
      </c>
      <c r="H37" s="36">
        <f>GETPIVOTDATA("Residuo Assicuratore",$A$3)/0.7*1.2225</f>
        <v>379727.50114285713</v>
      </c>
      <c r="I37" s="36">
        <f>I35/0.7*1.2225</f>
        <v>72329.047836734695</v>
      </c>
    </row>
    <row r="38" spans="1:9" x14ac:dyDescent="0.2">
      <c r="A38" s="35" t="s">
        <v>55</v>
      </c>
      <c r="B38" s="36">
        <f t="shared" ref="B38:I38" si="0">B37*$B$1</f>
        <v>39937.747500000005</v>
      </c>
      <c r="C38" s="36">
        <f t="shared" si="0"/>
        <v>0</v>
      </c>
      <c r="D38" s="36">
        <f t="shared" si="0"/>
        <v>473412.68839285715</v>
      </c>
      <c r="E38" s="36">
        <f t="shared" si="0"/>
        <v>10216.607142857143</v>
      </c>
      <c r="F38" s="36">
        <f t="shared" si="0"/>
        <v>43486.071428571428</v>
      </c>
      <c r="G38" s="36">
        <f t="shared" si="0"/>
        <v>2619.6428571428569</v>
      </c>
      <c r="H38" s="36">
        <f t="shared" si="0"/>
        <v>569591.2517142857</v>
      </c>
      <c r="I38" s="36">
        <f t="shared" si="0"/>
        <v>108493.57175510205</v>
      </c>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0"/>
  <sheetViews>
    <sheetView workbookViewId="0">
      <selection activeCell="I32" sqref="I32"/>
    </sheetView>
  </sheetViews>
  <sheetFormatPr defaultRowHeight="12.75" x14ac:dyDescent="0.2"/>
  <sheetData>
    <row r="1" spans="2:7" x14ac:dyDescent="0.2">
      <c r="B1" s="6" t="s">
        <v>77</v>
      </c>
      <c r="C1" s="6"/>
      <c r="D1" s="6"/>
      <c r="E1" s="6"/>
      <c r="F1" s="6"/>
      <c r="G1" s="6"/>
    </row>
    <row r="2" spans="2:7" x14ac:dyDescent="0.2">
      <c r="B2" s="6"/>
      <c r="C2" s="6"/>
      <c r="D2" s="6"/>
      <c r="E2" s="6"/>
      <c r="F2" s="6"/>
      <c r="G2" s="6"/>
    </row>
    <row r="3" spans="2:7" x14ac:dyDescent="0.2">
      <c r="B3" s="6" t="s">
        <v>99</v>
      </c>
      <c r="C3" s="6"/>
      <c r="D3" s="6"/>
      <c r="E3" s="6"/>
      <c r="F3" s="6"/>
      <c r="G3" s="6"/>
    </row>
    <row r="4" spans="2:7" x14ac:dyDescent="0.2">
      <c r="B4" s="6"/>
      <c r="C4" s="6"/>
      <c r="D4" s="6"/>
      <c r="E4" s="6"/>
      <c r="F4" s="6"/>
      <c r="G4" s="6"/>
    </row>
    <row r="5" spans="2:7" x14ac:dyDescent="0.2">
      <c r="B5" s="6" t="s">
        <v>100</v>
      </c>
      <c r="C5" s="6"/>
      <c r="D5" s="6"/>
      <c r="E5" s="6"/>
      <c r="F5" s="6"/>
      <c r="G5" s="6"/>
    </row>
    <row r="6" spans="2:7" x14ac:dyDescent="0.2">
      <c r="B6" s="6"/>
      <c r="C6" s="6"/>
      <c r="D6" s="6"/>
      <c r="E6" s="6"/>
      <c r="F6" s="6"/>
      <c r="G6" s="6"/>
    </row>
    <row r="7" spans="2:7" x14ac:dyDescent="0.2">
      <c r="B7" s="6"/>
      <c r="C7" s="6"/>
      <c r="D7" s="6"/>
      <c r="E7" s="6"/>
      <c r="F7" s="6"/>
      <c r="G7" s="6"/>
    </row>
    <row r="8" spans="2:7" x14ac:dyDescent="0.2">
      <c r="B8" s="6" t="s">
        <v>101</v>
      </c>
      <c r="C8" s="6"/>
      <c r="D8" s="6"/>
      <c r="E8" s="6"/>
      <c r="F8" s="6"/>
      <c r="G8" s="6"/>
    </row>
    <row r="9" spans="2:7" x14ac:dyDescent="0.2">
      <c r="B9" s="6"/>
      <c r="C9" s="6"/>
      <c r="D9" s="6"/>
      <c r="E9" s="6"/>
      <c r="F9" s="6"/>
      <c r="G9" s="6"/>
    </row>
    <row r="10" spans="2:7" x14ac:dyDescent="0.2">
      <c r="B10" s="6" t="s">
        <v>102</v>
      </c>
      <c r="C10" s="6"/>
      <c r="D10" s="6"/>
      <c r="E10" s="6"/>
      <c r="F10" s="6"/>
      <c r="G10" s="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tabSelected="1" workbookViewId="0">
      <selection activeCell="G22" sqref="G22"/>
    </sheetView>
  </sheetViews>
  <sheetFormatPr defaultRowHeight="12.75" x14ac:dyDescent="0.2"/>
  <cols>
    <col min="8" max="8" width="20.28515625" customWidth="1"/>
    <col min="10" max="10" width="44.28515625" customWidth="1"/>
    <col min="12" max="12" width="8.5703125" customWidth="1"/>
    <col min="13" max="16" width="9.140625" hidden="1" customWidth="1"/>
  </cols>
  <sheetData>
    <row r="1" spans="1:16" x14ac:dyDescent="0.2">
      <c r="A1" t="s">
        <v>103</v>
      </c>
    </row>
    <row r="2" spans="1:16" x14ac:dyDescent="0.2">
      <c r="B2" s="6" t="s">
        <v>77</v>
      </c>
      <c r="C2" s="6"/>
      <c r="D2" s="6"/>
      <c r="E2" s="6"/>
      <c r="F2" s="6"/>
      <c r="G2" s="6"/>
      <c r="H2" s="6"/>
      <c r="I2" s="6"/>
      <c r="J2" s="6"/>
      <c r="K2" s="6"/>
      <c r="L2" s="6"/>
      <c r="M2" s="6"/>
      <c r="N2" s="6"/>
      <c r="O2" s="6"/>
      <c r="P2" s="6"/>
    </row>
    <row r="3" spans="1:16" x14ac:dyDescent="0.2">
      <c r="B3" s="6"/>
      <c r="C3" s="6"/>
      <c r="D3" s="6"/>
      <c r="E3" s="6"/>
      <c r="F3" s="6"/>
      <c r="G3" s="6"/>
      <c r="H3" s="6"/>
      <c r="I3" s="6"/>
      <c r="J3" s="6"/>
      <c r="K3" s="6"/>
      <c r="L3" s="6"/>
      <c r="M3" s="6"/>
      <c r="N3" s="6"/>
      <c r="O3" s="6"/>
      <c r="P3" s="6"/>
    </row>
    <row r="4" spans="1:16" x14ac:dyDescent="0.2">
      <c r="B4" s="6" t="s">
        <v>104</v>
      </c>
      <c r="C4" s="6"/>
      <c r="D4" s="6"/>
      <c r="E4" s="6"/>
      <c r="F4" s="6"/>
      <c r="G4" s="6"/>
      <c r="H4" s="6"/>
      <c r="I4" s="6"/>
      <c r="J4" s="6"/>
      <c r="K4" s="6"/>
      <c r="L4" s="6"/>
      <c r="M4" s="6"/>
      <c r="N4" s="6"/>
      <c r="O4" s="6"/>
      <c r="P4" s="6"/>
    </row>
    <row r="5" spans="1:16" x14ac:dyDescent="0.2">
      <c r="B5" s="6"/>
      <c r="C5" s="6"/>
      <c r="D5" s="6"/>
      <c r="E5" s="6"/>
      <c r="F5" s="6"/>
      <c r="G5" s="6"/>
      <c r="H5" s="6"/>
      <c r="I5" s="6"/>
      <c r="J5" s="6"/>
      <c r="K5" s="6"/>
      <c r="L5" s="6"/>
      <c r="M5" s="6"/>
      <c r="N5" s="6"/>
      <c r="O5" s="6"/>
      <c r="P5" s="6"/>
    </row>
    <row r="6" spans="1:16" x14ac:dyDescent="0.2">
      <c r="B6" s="6" t="s">
        <v>105</v>
      </c>
      <c r="C6" s="6"/>
      <c r="D6" s="6"/>
      <c r="E6" s="6"/>
      <c r="F6" s="6"/>
      <c r="G6" s="6"/>
      <c r="H6" s="6"/>
      <c r="I6" s="6"/>
      <c r="J6" s="6"/>
      <c r="K6" s="6"/>
      <c r="L6" s="6"/>
      <c r="M6" s="6"/>
      <c r="N6" s="6"/>
      <c r="O6" s="6"/>
      <c r="P6" s="6"/>
    </row>
    <row r="7" spans="1:16" ht="13.5" thickBot="1" x14ac:dyDescent="0.25">
      <c r="B7" s="60"/>
      <c r="C7" s="60"/>
      <c r="D7" s="60"/>
      <c r="E7" s="60"/>
      <c r="F7" s="60"/>
      <c r="G7" s="60"/>
      <c r="H7" s="60"/>
      <c r="I7" s="60"/>
      <c r="J7" s="60"/>
      <c r="K7" s="60"/>
      <c r="L7" s="60"/>
      <c r="M7" s="60"/>
      <c r="N7" s="60"/>
      <c r="O7" s="60"/>
      <c r="P7" s="60"/>
    </row>
    <row r="8" spans="1:16" x14ac:dyDescent="0.2">
      <c r="B8" s="62" t="s">
        <v>111</v>
      </c>
      <c r="C8" s="63"/>
      <c r="D8" s="63"/>
      <c r="E8" s="63"/>
      <c r="F8" s="63"/>
      <c r="G8" s="63"/>
      <c r="H8" s="63"/>
      <c r="I8" s="63"/>
      <c r="J8" s="63"/>
      <c r="K8" s="63"/>
      <c r="L8" s="63"/>
      <c r="M8" s="63"/>
      <c r="N8" s="63"/>
      <c r="O8" s="63"/>
      <c r="P8" s="64"/>
    </row>
    <row r="9" spans="1:16" ht="13.5" thickBot="1" x14ac:dyDescent="0.25">
      <c r="B9" s="65"/>
      <c r="C9" s="66"/>
      <c r="D9" s="66"/>
      <c r="E9" s="66"/>
      <c r="F9" s="66"/>
      <c r="G9" s="66"/>
      <c r="H9" s="66"/>
      <c r="I9" s="66"/>
      <c r="J9" s="66"/>
      <c r="K9" s="66"/>
      <c r="L9" s="66"/>
      <c r="M9" s="66"/>
      <c r="N9" s="66"/>
      <c r="O9" s="66"/>
      <c r="P9" s="67"/>
    </row>
    <row r="10" spans="1:16" x14ac:dyDescent="0.2">
      <c r="B10" s="61"/>
      <c r="C10" s="61"/>
      <c r="D10" s="61"/>
      <c r="E10" s="61"/>
      <c r="F10" s="61"/>
      <c r="G10" s="61"/>
      <c r="H10" s="61"/>
      <c r="I10" s="61"/>
      <c r="J10" s="61"/>
      <c r="K10" s="61"/>
      <c r="L10" s="61"/>
      <c r="M10" s="61"/>
      <c r="N10" s="61"/>
      <c r="O10" s="61"/>
      <c r="P10" s="61"/>
    </row>
    <row r="11" spans="1:16" x14ac:dyDescent="0.2">
      <c r="B11" s="68" t="s">
        <v>112</v>
      </c>
      <c r="C11" s="6"/>
      <c r="D11" s="6"/>
      <c r="E11" s="6"/>
      <c r="F11" s="6"/>
      <c r="G11" s="6"/>
      <c r="H11" s="6"/>
      <c r="I11" s="6"/>
      <c r="J11" s="6"/>
      <c r="K11" s="6"/>
      <c r="L11" s="6"/>
      <c r="M11" s="6"/>
      <c r="N11" s="6"/>
      <c r="O11" s="6"/>
      <c r="P11" s="6"/>
    </row>
    <row r="13" spans="1:16" ht="15.75" x14ac:dyDescent="0.2">
      <c r="B13" s="56" t="s">
        <v>106</v>
      </c>
      <c r="C13" s="6"/>
      <c r="D13" s="6"/>
      <c r="E13" s="56" t="s">
        <v>107</v>
      </c>
      <c r="F13" s="6"/>
      <c r="G13" s="6"/>
      <c r="H13" s="6"/>
      <c r="I13" s="6">
        <v>2013</v>
      </c>
      <c r="J13" s="6" t="s">
        <v>109</v>
      </c>
    </row>
    <row r="14" spans="1:16" ht="15.75" x14ac:dyDescent="0.2">
      <c r="B14" s="56" t="s">
        <v>106</v>
      </c>
      <c r="C14" s="6"/>
      <c r="D14" s="6"/>
      <c r="E14" s="56" t="s">
        <v>107</v>
      </c>
      <c r="F14" s="6"/>
      <c r="G14" s="6"/>
      <c r="H14" s="6"/>
      <c r="I14" s="6">
        <v>2014</v>
      </c>
      <c r="J14" s="6" t="s">
        <v>109</v>
      </c>
    </row>
    <row r="15" spans="1:16" ht="15.75" x14ac:dyDescent="0.2">
      <c r="B15" s="56" t="s">
        <v>106</v>
      </c>
      <c r="C15" s="6"/>
      <c r="D15" s="6"/>
      <c r="E15" s="56" t="s">
        <v>107</v>
      </c>
      <c r="F15" s="6"/>
      <c r="G15" s="6"/>
      <c r="H15" s="6"/>
      <c r="I15" s="6">
        <v>2015</v>
      </c>
      <c r="J15" s="6" t="s">
        <v>109</v>
      </c>
    </row>
    <row r="16" spans="1:16" ht="15.75" x14ac:dyDescent="0.2">
      <c r="B16" s="56" t="s">
        <v>106</v>
      </c>
      <c r="C16" s="6"/>
      <c r="D16" s="6"/>
      <c r="E16" s="56" t="s">
        <v>107</v>
      </c>
      <c r="F16" s="6"/>
      <c r="G16" s="6"/>
      <c r="H16" s="6"/>
      <c r="I16" s="6">
        <v>2015</v>
      </c>
      <c r="J16" s="6" t="s">
        <v>109</v>
      </c>
    </row>
    <row r="17" spans="2:10" ht="89.25" customHeight="1" x14ac:dyDescent="0.2">
      <c r="B17" s="56" t="s">
        <v>106</v>
      </c>
      <c r="C17" s="6"/>
      <c r="D17" s="6"/>
      <c r="E17" s="56" t="s">
        <v>108</v>
      </c>
      <c r="F17" s="6"/>
      <c r="G17" s="6"/>
      <c r="H17" s="6"/>
      <c r="I17" s="6">
        <v>2015</v>
      </c>
      <c r="J17" s="59" t="s">
        <v>110</v>
      </c>
    </row>
    <row r="18" spans="2:10" x14ac:dyDescent="0.2">
      <c r="J18" s="58"/>
    </row>
    <row r="20" spans="2:10" ht="15.75" x14ac:dyDescent="0.2">
      <c r="B20" s="57"/>
    </row>
  </sheetData>
  <mergeCells count="1">
    <mergeCell ref="B8:P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16" sqref="A16"/>
    </sheetView>
  </sheetViews>
  <sheetFormatPr defaultRowHeight="12.75" x14ac:dyDescent="0.2"/>
  <sheetData>
    <row r="1" spans="1:1" x14ac:dyDescent="0.2">
      <c r="A1" t="s">
        <v>77</v>
      </c>
    </row>
    <row r="2" spans="1:1" x14ac:dyDescent="0.2">
      <c r="A2" t="s">
        <v>97</v>
      </c>
    </row>
    <row r="3" spans="1:1" x14ac:dyDescent="0.2">
      <c r="A3" t="s">
        <v>79</v>
      </c>
    </row>
    <row r="6" spans="1:1" x14ac:dyDescent="0.2">
      <c r="A6" t="s">
        <v>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K15" sqref="K15"/>
    </sheetView>
  </sheetViews>
  <sheetFormatPr defaultRowHeight="12.75" x14ac:dyDescent="0.2"/>
  <cols>
    <col min="11" max="11" width="15.85546875" bestFit="1" customWidth="1"/>
  </cols>
  <sheetData>
    <row r="1" spans="1:14" ht="15" x14ac:dyDescent="0.25">
      <c r="A1" s="50" t="s">
        <v>77</v>
      </c>
      <c r="B1" s="50"/>
      <c r="C1" s="51"/>
      <c r="D1" s="51"/>
      <c r="F1" s="52"/>
      <c r="G1" s="52"/>
      <c r="H1" s="52"/>
      <c r="I1" s="52"/>
      <c r="J1" s="52"/>
      <c r="L1" s="53"/>
      <c r="M1" s="52"/>
      <c r="N1" s="52"/>
    </row>
    <row r="2" spans="1:14" ht="15" x14ac:dyDescent="0.25">
      <c r="A2" s="50" t="s">
        <v>78</v>
      </c>
      <c r="B2" s="50"/>
      <c r="C2" s="51"/>
      <c r="D2" s="51"/>
      <c r="F2" s="52"/>
      <c r="G2" s="52"/>
      <c r="H2" s="52"/>
      <c r="I2" s="52"/>
      <c r="J2" s="52"/>
      <c r="L2" s="53"/>
      <c r="M2" s="52"/>
      <c r="N2" s="52"/>
    </row>
    <row r="3" spans="1:14" ht="15" x14ac:dyDescent="0.25">
      <c r="A3" s="50" t="s">
        <v>79</v>
      </c>
      <c r="B3" s="50"/>
      <c r="C3" s="51"/>
      <c r="D3" s="51"/>
      <c r="F3" s="52"/>
      <c r="G3" s="52"/>
      <c r="H3" s="52"/>
      <c r="I3" s="52"/>
      <c r="J3" s="52"/>
      <c r="L3" s="53"/>
      <c r="M3" s="52"/>
      <c r="N3" s="52"/>
    </row>
    <row r="4" spans="1:14" x14ac:dyDescent="0.2">
      <c r="C4" s="52"/>
      <c r="D4" s="52"/>
      <c r="F4" s="52"/>
      <c r="G4" s="52"/>
      <c r="H4" s="52"/>
      <c r="I4" s="52"/>
      <c r="J4" s="52"/>
      <c r="L4" s="53"/>
      <c r="M4" s="52"/>
      <c r="N4" s="52"/>
    </row>
    <row r="5" spans="1:14" x14ac:dyDescent="0.2">
      <c r="C5" s="52"/>
      <c r="D5" s="52"/>
      <c r="F5" s="52"/>
      <c r="G5" s="52"/>
      <c r="H5" s="52"/>
      <c r="I5" s="52"/>
      <c r="J5" s="52"/>
      <c r="L5" s="53"/>
      <c r="M5" s="52"/>
      <c r="N5" s="52"/>
    </row>
    <row r="6" spans="1:14" ht="15" x14ac:dyDescent="0.25">
      <c r="A6" s="45" t="s">
        <v>80</v>
      </c>
      <c r="B6" s="45" t="s">
        <v>81</v>
      </c>
      <c r="C6" s="46" t="s">
        <v>82</v>
      </c>
      <c r="D6" s="46" t="s">
        <v>59</v>
      </c>
      <c r="E6" s="45" t="s">
        <v>83</v>
      </c>
      <c r="F6" s="46" t="s">
        <v>5</v>
      </c>
      <c r="G6" s="46" t="s">
        <v>84</v>
      </c>
      <c r="H6" s="46" t="s">
        <v>60</v>
      </c>
      <c r="I6" s="46" t="s">
        <v>75</v>
      </c>
      <c r="J6" s="46" t="s">
        <v>85</v>
      </c>
      <c r="K6" s="45" t="s">
        <v>86</v>
      </c>
      <c r="L6" s="54" t="s">
        <v>87</v>
      </c>
      <c r="M6" s="46" t="s">
        <v>88</v>
      </c>
      <c r="N6" s="46" t="s">
        <v>62</v>
      </c>
    </row>
    <row r="7" spans="1:14" x14ac:dyDescent="0.2">
      <c r="A7" s="6">
        <v>1278</v>
      </c>
      <c r="B7" s="6">
        <v>2016</v>
      </c>
      <c r="C7" s="7" t="s">
        <v>77</v>
      </c>
      <c r="D7" s="7" t="s">
        <v>89</v>
      </c>
      <c r="E7" s="48">
        <v>41768</v>
      </c>
      <c r="F7" s="7" t="s">
        <v>90</v>
      </c>
      <c r="G7" s="7" t="s">
        <v>91</v>
      </c>
      <c r="H7" s="7" t="s">
        <v>92</v>
      </c>
      <c r="I7" s="7" t="s">
        <v>93</v>
      </c>
      <c r="J7" s="7" t="s">
        <v>94</v>
      </c>
      <c r="K7" s="48">
        <v>42620</v>
      </c>
      <c r="L7" s="55">
        <v>0</v>
      </c>
      <c r="M7" s="7" t="s">
        <v>95</v>
      </c>
      <c r="N7" s="7" t="s">
        <v>96</v>
      </c>
    </row>
    <row r="8" spans="1:14" x14ac:dyDescent="0.2">
      <c r="C8" s="52"/>
      <c r="D8" s="52"/>
      <c r="F8" s="52"/>
      <c r="G8" s="52"/>
      <c r="H8" s="52"/>
      <c r="I8" s="52"/>
      <c r="J8" s="52"/>
      <c r="L8" s="53"/>
      <c r="M8" s="52"/>
      <c r="N8" s="52"/>
    </row>
    <row r="9" spans="1:14" x14ac:dyDescent="0.2">
      <c r="C9" s="52"/>
      <c r="D9" s="52"/>
      <c r="F9" s="52"/>
      <c r="G9" s="52"/>
      <c r="H9" s="52"/>
      <c r="I9" s="52"/>
      <c r="J9" s="52"/>
      <c r="L9" s="53"/>
      <c r="M9" s="52"/>
      <c r="N9" s="5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9"/>
  <sheetViews>
    <sheetView topLeftCell="A4" workbookViewId="0">
      <selection activeCell="G11" sqref="G11"/>
    </sheetView>
  </sheetViews>
  <sheetFormatPr defaultRowHeight="12.75" x14ac:dyDescent="0.2"/>
  <cols>
    <col min="4" max="4" width="17.28515625" bestFit="1" customWidth="1"/>
    <col min="6" max="6" width="15" bestFit="1" customWidth="1"/>
    <col min="7" max="7" width="22.42578125" bestFit="1" customWidth="1"/>
    <col min="9" max="9" width="23.140625" bestFit="1" customWidth="1"/>
    <col min="12" max="12" width="29.42578125" bestFit="1" customWidth="1"/>
  </cols>
  <sheetData>
    <row r="2" spans="1:13" ht="15" x14ac:dyDescent="0.25">
      <c r="A2" s="45" t="s">
        <v>57</v>
      </c>
      <c r="B2" s="45" t="s">
        <v>58</v>
      </c>
      <c r="C2" s="46" t="s">
        <v>59</v>
      </c>
      <c r="D2" s="45" t="s">
        <v>1</v>
      </c>
      <c r="E2" s="46" t="s">
        <v>5</v>
      </c>
      <c r="F2" s="45" t="s">
        <v>60</v>
      </c>
      <c r="G2" s="45" t="s">
        <v>61</v>
      </c>
      <c r="H2" s="46" t="s">
        <v>62</v>
      </c>
      <c r="I2" s="47" t="s">
        <v>63</v>
      </c>
      <c r="J2" s="45" t="s">
        <v>64</v>
      </c>
      <c r="K2" s="45" t="s">
        <v>31</v>
      </c>
      <c r="L2" s="46" t="s">
        <v>65</v>
      </c>
      <c r="M2" s="46" t="s">
        <v>66</v>
      </c>
    </row>
    <row r="3" spans="1:13" ht="15" x14ac:dyDescent="0.25">
      <c r="A3" s="45"/>
      <c r="B3" s="45"/>
      <c r="C3" s="46"/>
      <c r="D3" s="45"/>
      <c r="E3" s="46"/>
      <c r="F3" s="45"/>
      <c r="G3" s="45"/>
      <c r="H3" s="46"/>
      <c r="I3" s="47"/>
      <c r="J3" s="45"/>
      <c r="K3" s="45"/>
      <c r="L3" s="46"/>
      <c r="M3" s="46"/>
    </row>
    <row r="4" spans="1:13" ht="15" x14ac:dyDescent="0.25">
      <c r="A4" s="45" t="s">
        <v>67</v>
      </c>
      <c r="B4" s="45"/>
      <c r="C4" s="46"/>
      <c r="D4" s="45"/>
      <c r="E4" s="46"/>
      <c r="F4" s="45"/>
      <c r="G4" s="45"/>
      <c r="H4" s="46"/>
      <c r="I4" s="47"/>
      <c r="J4" s="45"/>
      <c r="K4" s="45"/>
      <c r="L4" s="46"/>
      <c r="M4" s="46"/>
    </row>
    <row r="5" spans="1:13" ht="15" x14ac:dyDescent="0.25">
      <c r="A5" s="45"/>
      <c r="B5" s="45"/>
      <c r="C5" s="46"/>
      <c r="D5" s="45"/>
      <c r="E5" s="46"/>
      <c r="F5" s="45"/>
      <c r="G5" s="45"/>
      <c r="H5" s="46"/>
      <c r="I5" s="47"/>
      <c r="J5" s="45"/>
      <c r="K5" s="45"/>
      <c r="L5" s="46"/>
      <c r="M5" s="46"/>
    </row>
    <row r="6" spans="1:13" x14ac:dyDescent="0.2">
      <c r="A6" s="6">
        <v>2015</v>
      </c>
      <c r="B6" s="6">
        <v>3175</v>
      </c>
      <c r="C6" s="7" t="s">
        <v>68</v>
      </c>
      <c r="D6" s="48">
        <v>42249</v>
      </c>
      <c r="E6" s="7" t="s">
        <v>69</v>
      </c>
      <c r="F6" s="6">
        <v>949300004</v>
      </c>
      <c r="G6" s="6">
        <v>952257705</v>
      </c>
      <c r="H6" s="7" t="s">
        <v>70</v>
      </c>
      <c r="I6" s="49">
        <v>1400</v>
      </c>
      <c r="J6" s="6">
        <v>0</v>
      </c>
      <c r="K6" s="6">
        <v>0</v>
      </c>
      <c r="L6" s="7" t="s">
        <v>71</v>
      </c>
      <c r="M6" s="7" t="s">
        <v>72</v>
      </c>
    </row>
    <row r="7" spans="1:13" x14ac:dyDescent="0.2">
      <c r="A7" s="6">
        <v>2017</v>
      </c>
      <c r="B7" s="6">
        <v>72</v>
      </c>
      <c r="C7" s="7" t="s">
        <v>68</v>
      </c>
      <c r="D7" s="48">
        <v>42740</v>
      </c>
      <c r="E7" s="7" t="s">
        <v>69</v>
      </c>
      <c r="F7" s="6">
        <v>440296678</v>
      </c>
      <c r="G7" s="6">
        <v>952314799</v>
      </c>
      <c r="H7" s="7" t="s">
        <v>70</v>
      </c>
      <c r="I7" s="49">
        <v>0</v>
      </c>
      <c r="J7" s="6">
        <v>0</v>
      </c>
      <c r="K7" s="6">
        <v>0</v>
      </c>
      <c r="L7" s="7" t="s">
        <v>71</v>
      </c>
      <c r="M7" s="7" t="s">
        <v>73</v>
      </c>
    </row>
    <row r="8" spans="1:13" x14ac:dyDescent="0.2">
      <c r="A8" s="6"/>
      <c r="B8" s="6"/>
      <c r="C8" s="7"/>
      <c r="D8" s="6"/>
      <c r="E8" s="7"/>
      <c r="F8" s="6"/>
      <c r="G8" s="6"/>
      <c r="H8" s="7"/>
      <c r="I8" s="49"/>
      <c r="J8" s="6"/>
      <c r="K8" s="6"/>
      <c r="L8" s="7"/>
      <c r="M8" s="7"/>
    </row>
    <row r="9" spans="1:13" x14ac:dyDescent="0.2">
      <c r="A9" s="6"/>
      <c r="B9" s="6"/>
      <c r="C9" s="7"/>
      <c r="D9" s="6"/>
      <c r="E9" s="7"/>
      <c r="F9" s="6"/>
      <c r="G9" s="6"/>
      <c r="H9" s="7"/>
      <c r="I9" s="49"/>
      <c r="J9" s="6"/>
      <c r="K9" s="6"/>
      <c r="L9" s="7"/>
      <c r="M9" s="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B8" sqref="B8"/>
    </sheetView>
  </sheetViews>
  <sheetFormatPr defaultRowHeight="12.75" x14ac:dyDescent="0.2"/>
  <sheetData>
    <row r="1" spans="1:14" x14ac:dyDescent="0.2">
      <c r="A1" t="s">
        <v>57</v>
      </c>
      <c r="B1" t="s">
        <v>58</v>
      </c>
      <c r="C1" t="s">
        <v>59</v>
      </c>
      <c r="D1" t="s">
        <v>1</v>
      </c>
      <c r="E1" t="s">
        <v>5</v>
      </c>
      <c r="F1" t="s">
        <v>60</v>
      </c>
      <c r="G1" t="s">
        <v>61</v>
      </c>
      <c r="H1" t="s">
        <v>62</v>
      </c>
      <c r="I1" t="s">
        <v>74</v>
      </c>
      <c r="J1" t="s">
        <v>64</v>
      </c>
      <c r="K1" t="s">
        <v>31</v>
      </c>
      <c r="L1" t="s">
        <v>65</v>
      </c>
      <c r="M1" t="s">
        <v>66</v>
      </c>
      <c r="N1" t="s">
        <v>75</v>
      </c>
    </row>
    <row r="3" spans="1:14" x14ac:dyDescent="0.2">
      <c r="A3" t="s">
        <v>67</v>
      </c>
    </row>
    <row r="5" spans="1:14" x14ac:dyDescent="0.2">
      <c r="A5"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rct_o</vt:lpstr>
      <vt:lpstr>PVT</vt:lpstr>
      <vt:lpstr>RCP</vt:lpstr>
      <vt:lpstr>TUTELA LEGALE</vt:lpstr>
      <vt:lpstr>all risks</vt:lpstr>
      <vt:lpstr>infortuni</vt:lpstr>
      <vt:lpstr>rca</vt:lpstr>
      <vt:lpstr>cvt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Collura</dc:creator>
  <cp:lastModifiedBy>Fiorella Zanello</cp:lastModifiedBy>
  <cp:lastPrinted>2017-09-04T08:45:01Z</cp:lastPrinted>
  <dcterms:created xsi:type="dcterms:W3CDTF">2017-08-29T14:03:23Z</dcterms:created>
  <dcterms:modified xsi:type="dcterms:W3CDTF">2017-09-25T11:01:37Z</dcterms:modified>
</cp:coreProperties>
</file>